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880" yWindow="-210" windowWidth="12375" windowHeight="12675" tabRatio="755"/>
  </bookViews>
  <sheets>
    <sheet name="Consolidated" sheetId="12" r:id="rId1"/>
    <sheet name="Boulder" sheetId="16" r:id="rId2"/>
    <sheet name="UCCS" sheetId="10" r:id="rId3"/>
    <sheet name="Denver" sheetId="1" r:id="rId4"/>
    <sheet name="Anschutz" sheetId="4" r:id="rId5"/>
  </sheets>
  <definedNames>
    <definedName name="_xlnm.Print_Area" localSheetId="1">Boulder!$A$1:$G$73</definedName>
    <definedName name="_xlnm.Print_Area" localSheetId="0">Consolidated!$A$1:$G$65</definedName>
    <definedName name="_xlnm.Print_Area" localSheetId="2">UCCS!$A$1:$G$63</definedName>
  </definedNames>
  <calcPr calcId="145621"/>
</workbook>
</file>

<file path=xl/calcChain.xml><?xml version="1.0" encoding="utf-8"?>
<calcChain xmlns="http://schemas.openxmlformats.org/spreadsheetml/2006/main">
  <c r="F58" i="16" l="1"/>
  <c r="E58" i="16"/>
  <c r="B58" i="16"/>
  <c r="G57" i="16"/>
  <c r="F57" i="16"/>
  <c r="E57" i="16"/>
  <c r="D57" i="16"/>
  <c r="C57" i="16"/>
  <c r="B57" i="16"/>
  <c r="G56" i="16"/>
  <c r="G55" i="16"/>
  <c r="G52" i="16"/>
  <c r="F52" i="16"/>
  <c r="E52" i="16"/>
  <c r="D52" i="16"/>
  <c r="C52" i="16"/>
  <c r="C58" i="16" s="1"/>
  <c r="B52" i="16"/>
  <c r="G51" i="16"/>
  <c r="G50" i="16"/>
  <c r="G49" i="16"/>
  <c r="F45" i="16"/>
  <c r="E45" i="16"/>
  <c r="D45" i="16"/>
  <c r="D58" i="16" s="1"/>
  <c r="G58" i="16" s="1"/>
  <c r="C45" i="16"/>
  <c r="B45" i="16"/>
  <c r="G44" i="16"/>
  <c r="G43" i="16"/>
  <c r="G42" i="16"/>
  <c r="G41" i="16"/>
  <c r="G40" i="16"/>
  <c r="G39" i="16"/>
  <c r="G38" i="16"/>
  <c r="G37" i="16"/>
  <c r="G36" i="16"/>
  <c r="G35" i="16"/>
  <c r="G34" i="16"/>
  <c r="G29" i="16"/>
  <c r="G28" i="16"/>
  <c r="G27" i="16"/>
  <c r="G25" i="16"/>
  <c r="G24" i="16"/>
  <c r="G23" i="16"/>
  <c r="G22" i="16"/>
  <c r="F21" i="16"/>
  <c r="G21" i="16" s="1"/>
  <c r="E21" i="16"/>
  <c r="D21" i="16"/>
  <c r="C21" i="16"/>
  <c r="B21" i="16"/>
  <c r="G20" i="16"/>
  <c r="G19" i="16"/>
  <c r="G18" i="16"/>
  <c r="G17" i="16"/>
  <c r="G15" i="16"/>
  <c r="F14" i="16"/>
  <c r="F30" i="16" s="1"/>
  <c r="E14" i="16"/>
  <c r="G14" i="16" s="1"/>
  <c r="D14" i="16"/>
  <c r="D30" i="16" s="1"/>
  <c r="C14" i="16"/>
  <c r="C30" i="16" s="1"/>
  <c r="B14" i="16"/>
  <c r="B30" i="16" s="1"/>
  <c r="G13" i="16"/>
  <c r="G12" i="16"/>
  <c r="G11" i="16"/>
  <c r="G10" i="16"/>
  <c r="G9" i="16"/>
  <c r="E30" i="16" l="1"/>
  <c r="G30" i="16" s="1"/>
  <c r="G45" i="16"/>
  <c r="F57" i="10" l="1"/>
  <c r="C57" i="10"/>
  <c r="B57" i="10"/>
  <c r="E56" i="10"/>
  <c r="E57" i="10" s="1"/>
  <c r="D56" i="10"/>
  <c r="G56" i="10" s="1"/>
  <c r="C56" i="10"/>
  <c r="G55" i="10"/>
  <c r="F52" i="10"/>
  <c r="E52" i="10"/>
  <c r="C52" i="10"/>
  <c r="B52" i="10"/>
  <c r="G51" i="10"/>
  <c r="G50" i="10"/>
  <c r="D49" i="10"/>
  <c r="G49" i="10" s="1"/>
  <c r="C49" i="10"/>
  <c r="E45" i="10"/>
  <c r="E58" i="10" s="1"/>
  <c r="B45" i="10"/>
  <c r="B58" i="10" s="1"/>
  <c r="G44" i="10"/>
  <c r="G43" i="10"/>
  <c r="G42" i="10"/>
  <c r="C42" i="10"/>
  <c r="G41" i="10"/>
  <c r="F41" i="10"/>
  <c r="C41" i="10"/>
  <c r="D40" i="10"/>
  <c r="G40" i="10" s="1"/>
  <c r="C40" i="10"/>
  <c r="F39" i="10"/>
  <c r="F45" i="10" s="1"/>
  <c r="F58" i="10" s="1"/>
  <c r="D39" i="10"/>
  <c r="G39" i="10" s="1"/>
  <c r="C39" i="10"/>
  <c r="G38" i="10"/>
  <c r="C38" i="10"/>
  <c r="G37" i="10"/>
  <c r="C37" i="10"/>
  <c r="G36" i="10"/>
  <c r="C36" i="10"/>
  <c r="G35" i="10"/>
  <c r="C35" i="10"/>
  <c r="D34" i="10"/>
  <c r="D45" i="10" s="1"/>
  <c r="C34" i="10"/>
  <c r="C45" i="10" s="1"/>
  <c r="C58" i="10" s="1"/>
  <c r="G29" i="10"/>
  <c r="C29" i="10"/>
  <c r="G28" i="10"/>
  <c r="G27" i="10"/>
  <c r="G25" i="10"/>
  <c r="G24" i="10"/>
  <c r="G23" i="10"/>
  <c r="C23" i="10"/>
  <c r="F22" i="10"/>
  <c r="G22" i="10" s="1"/>
  <c r="C22" i="10"/>
  <c r="E21" i="10"/>
  <c r="E30" i="10" s="1"/>
  <c r="B21" i="10"/>
  <c r="G20" i="10"/>
  <c r="D20" i="10"/>
  <c r="D21" i="10" s="1"/>
  <c r="C20" i="10"/>
  <c r="G19" i="10"/>
  <c r="G18" i="10"/>
  <c r="F18" i="10"/>
  <c r="C18" i="10"/>
  <c r="C21" i="10" s="1"/>
  <c r="F17" i="10"/>
  <c r="F21" i="10" s="1"/>
  <c r="C17" i="10"/>
  <c r="G15" i="10"/>
  <c r="F14" i="10"/>
  <c r="G14" i="10" s="1"/>
  <c r="E14" i="10"/>
  <c r="D14" i="10"/>
  <c r="C14" i="10"/>
  <c r="B14" i="10"/>
  <c r="B30" i="10" s="1"/>
  <c r="G13" i="10"/>
  <c r="C13" i="10"/>
  <c r="G12" i="10"/>
  <c r="G11" i="10"/>
  <c r="D11" i="10"/>
  <c r="G10" i="10"/>
  <c r="G9" i="10"/>
  <c r="G45" i="10" l="1"/>
  <c r="C30" i="10"/>
  <c r="G21" i="10"/>
  <c r="D30" i="10"/>
  <c r="G17" i="10"/>
  <c r="D57" i="10"/>
  <c r="G57" i="10" s="1"/>
  <c r="F30" i="10"/>
  <c r="G34" i="10"/>
  <c r="D52" i="10"/>
  <c r="G52" i="10" s="1"/>
  <c r="G30" i="10" l="1"/>
  <c r="D58" i="10"/>
  <c r="G58" i="10" s="1"/>
  <c r="B60" i="16" l="1"/>
  <c r="F60" i="16"/>
  <c r="E60" i="16"/>
  <c r="C60" i="16"/>
  <c r="D60" i="16" l="1"/>
  <c r="G60" i="16" s="1"/>
  <c r="F15" i="12"/>
  <c r="E15" i="12"/>
  <c r="D15" i="12"/>
  <c r="C15" i="12"/>
  <c r="B15" i="12"/>
  <c r="G15" i="12" l="1"/>
  <c r="F56" i="12"/>
  <c r="E56" i="12"/>
  <c r="D56" i="12"/>
  <c r="C56" i="12"/>
  <c r="F55" i="12"/>
  <c r="E55" i="12"/>
  <c r="D55" i="12"/>
  <c r="C55" i="12"/>
  <c r="F51" i="12"/>
  <c r="E51" i="12"/>
  <c r="D51" i="12"/>
  <c r="C51" i="12"/>
  <c r="F50" i="12"/>
  <c r="E50" i="12"/>
  <c r="D50" i="12"/>
  <c r="C50" i="12"/>
  <c r="F49" i="12"/>
  <c r="E49" i="12"/>
  <c r="D49" i="12"/>
  <c r="C49" i="12"/>
  <c r="F44" i="12"/>
  <c r="E44" i="12"/>
  <c r="D44" i="12"/>
  <c r="C44" i="12"/>
  <c r="F43" i="12"/>
  <c r="E43" i="12"/>
  <c r="D43" i="12"/>
  <c r="C43" i="12"/>
  <c r="F42" i="12"/>
  <c r="E42" i="12"/>
  <c r="D42" i="12"/>
  <c r="C42" i="12"/>
  <c r="F41" i="12"/>
  <c r="E41" i="12"/>
  <c r="D41" i="12"/>
  <c r="C41" i="12"/>
  <c r="F40" i="12"/>
  <c r="E40" i="12"/>
  <c r="D40" i="12"/>
  <c r="C40" i="12"/>
  <c r="F39" i="12"/>
  <c r="E39" i="12"/>
  <c r="D39" i="12"/>
  <c r="C39" i="12"/>
  <c r="F38" i="12"/>
  <c r="E38" i="12"/>
  <c r="D38" i="12"/>
  <c r="C38" i="12"/>
  <c r="F37" i="12"/>
  <c r="E37" i="12"/>
  <c r="D37" i="12"/>
  <c r="C37" i="12"/>
  <c r="F36" i="12"/>
  <c r="E36" i="12"/>
  <c r="D36" i="12"/>
  <c r="C36" i="12"/>
  <c r="F35" i="12"/>
  <c r="E35" i="12"/>
  <c r="D35" i="12"/>
  <c r="C35" i="12"/>
  <c r="F34" i="12"/>
  <c r="E34" i="12"/>
  <c r="D34" i="12"/>
  <c r="C34" i="12"/>
  <c r="F29" i="12"/>
  <c r="E29" i="12"/>
  <c r="D29" i="12"/>
  <c r="C29" i="12"/>
  <c r="F28" i="12"/>
  <c r="E28" i="12"/>
  <c r="D28" i="12"/>
  <c r="C28" i="12"/>
  <c r="F27" i="12"/>
  <c r="E27" i="12"/>
  <c r="D27" i="12"/>
  <c r="C27" i="12"/>
  <c r="F26" i="12"/>
  <c r="E26" i="12"/>
  <c r="D26" i="12"/>
  <c r="C26" i="12"/>
  <c r="F25" i="12"/>
  <c r="E25" i="12"/>
  <c r="D25" i="12"/>
  <c r="C25" i="12"/>
  <c r="F24" i="12"/>
  <c r="E24" i="12"/>
  <c r="D24" i="12"/>
  <c r="C24" i="12"/>
  <c r="F23" i="12"/>
  <c r="E23" i="12"/>
  <c r="D23" i="12"/>
  <c r="C23" i="12"/>
  <c r="F22" i="12"/>
  <c r="E22" i="12"/>
  <c r="D22" i="12"/>
  <c r="C22" i="12"/>
  <c r="F20" i="12"/>
  <c r="E20" i="12"/>
  <c r="D20" i="12"/>
  <c r="C20" i="12"/>
  <c r="F19" i="12"/>
  <c r="E19" i="12"/>
  <c r="D19" i="12"/>
  <c r="C19" i="12"/>
  <c r="F18" i="12"/>
  <c r="E18" i="12"/>
  <c r="D18" i="12"/>
  <c r="C18" i="12"/>
  <c r="F17" i="12"/>
  <c r="E17" i="12"/>
  <c r="D17" i="12"/>
  <c r="C17" i="12"/>
  <c r="C21" i="12" s="1"/>
  <c r="F13" i="12"/>
  <c r="E13" i="12"/>
  <c r="D13" i="12"/>
  <c r="C13" i="12"/>
  <c r="F12" i="12"/>
  <c r="E12" i="12"/>
  <c r="D12" i="12"/>
  <c r="C12" i="12"/>
  <c r="F11" i="12"/>
  <c r="E11" i="12"/>
  <c r="D11" i="12"/>
  <c r="C11" i="12"/>
  <c r="F10" i="12"/>
  <c r="E10" i="12"/>
  <c r="D10" i="12"/>
  <c r="C10" i="12"/>
  <c r="F9" i="12"/>
  <c r="E9" i="12"/>
  <c r="D9" i="12"/>
  <c r="C9" i="12"/>
  <c r="B56" i="12"/>
  <c r="B55" i="12"/>
  <c r="B51" i="12"/>
  <c r="B50" i="12"/>
  <c r="B49" i="12"/>
  <c r="B44" i="12"/>
  <c r="B43" i="12"/>
  <c r="B42" i="12"/>
  <c r="B41" i="12"/>
  <c r="B40" i="12"/>
  <c r="B39" i="12"/>
  <c r="B38" i="12"/>
  <c r="B37" i="12"/>
  <c r="B36" i="12"/>
  <c r="B35" i="12"/>
  <c r="B34" i="12"/>
  <c r="B29" i="12"/>
  <c r="B28" i="12"/>
  <c r="B27" i="12"/>
  <c r="B26" i="12"/>
  <c r="B25" i="12"/>
  <c r="B24" i="12"/>
  <c r="B23" i="12"/>
  <c r="B22" i="12"/>
  <c r="B20" i="12"/>
  <c r="B19" i="12"/>
  <c r="B18" i="12"/>
  <c r="B17" i="12"/>
  <c r="B13" i="12"/>
  <c r="B12" i="12"/>
  <c r="B11" i="12"/>
  <c r="B10" i="12"/>
  <c r="B9" i="12"/>
  <c r="C57" i="12" l="1"/>
  <c r="G34" i="12"/>
  <c r="G36" i="12"/>
  <c r="G44" i="12"/>
  <c r="B57" i="12"/>
  <c r="F21" i="12"/>
  <c r="F57" i="12"/>
  <c r="C14" i="12"/>
  <c r="C30" i="12" s="1"/>
  <c r="D14" i="12"/>
  <c r="G20" i="12"/>
  <c r="G27" i="12"/>
  <c r="G29" i="12"/>
  <c r="D52" i="12"/>
  <c r="E52" i="12"/>
  <c r="D21" i="12"/>
  <c r="D45" i="12"/>
  <c r="D57" i="12"/>
  <c r="G12" i="12"/>
  <c r="B52" i="12"/>
  <c r="G28" i="12"/>
  <c r="G38" i="12"/>
  <c r="G40" i="12"/>
  <c r="G42" i="12"/>
  <c r="F52" i="12"/>
  <c r="C45" i="12"/>
  <c r="B21" i="12"/>
  <c r="B45" i="12"/>
  <c r="C52" i="12"/>
  <c r="G18" i="12"/>
  <c r="G13" i="12"/>
  <c r="G35" i="12"/>
  <c r="G41" i="12"/>
  <c r="G49" i="12"/>
  <c r="G23" i="12"/>
  <c r="G9" i="12"/>
  <c r="G37" i="12"/>
  <c r="G43" i="12"/>
  <c r="G56" i="12"/>
  <c r="G25" i="12"/>
  <c r="F45" i="12"/>
  <c r="E14" i="12"/>
  <c r="G22" i="12"/>
  <c r="G24" i="12"/>
  <c r="G11" i="12"/>
  <c r="G39" i="12"/>
  <c r="G51" i="12"/>
  <c r="B14" i="12"/>
  <c r="G17" i="12"/>
  <c r="G19" i="12"/>
  <c r="G50" i="12"/>
  <c r="G55" i="12"/>
  <c r="E57" i="12"/>
  <c r="E45" i="12"/>
  <c r="E21" i="12"/>
  <c r="F14" i="12"/>
  <c r="G10" i="12"/>
  <c r="F60" i="10"/>
  <c r="B60" i="10"/>
  <c r="G52" i="12" l="1"/>
  <c r="F30" i="12"/>
  <c r="C58" i="12"/>
  <c r="C60" i="12" s="1"/>
  <c r="D58" i="12"/>
  <c r="F58" i="12"/>
  <c r="D30" i="12"/>
  <c r="G45" i="12"/>
  <c r="G57" i="12"/>
  <c r="B58" i="12"/>
  <c r="B30" i="12"/>
  <c r="E30" i="12"/>
  <c r="E58" i="12"/>
  <c r="G21" i="12"/>
  <c r="G14" i="12"/>
  <c r="C60" i="10"/>
  <c r="F60" i="12" l="1"/>
  <c r="D60" i="12"/>
  <c r="G30" i="12"/>
  <c r="B60" i="12"/>
  <c r="E60" i="12"/>
  <c r="G60" i="12" s="1"/>
  <c r="G58" i="12"/>
  <c r="D60" i="10"/>
  <c r="E60" i="10"/>
  <c r="G60" i="10" l="1"/>
</calcChain>
</file>

<file path=xl/sharedStrings.xml><?xml version="1.0" encoding="utf-8"?>
<sst xmlns="http://schemas.openxmlformats.org/spreadsheetml/2006/main" count="327" uniqueCount="78">
  <si>
    <t>University of Colorado</t>
  </si>
  <si>
    <t>Denver Campus</t>
  </si>
  <si>
    <t>Description</t>
  </si>
  <si>
    <t>FY 2015-16</t>
  </si>
  <si>
    <t xml:space="preserve">Original Total Current Funds </t>
  </si>
  <si>
    <t xml:space="preserve">June Estimate Total Current Funds </t>
  </si>
  <si>
    <t>Education &amp; General Fund</t>
  </si>
  <si>
    <t>Auxiliary &amp; 
Self-Funded Activities</t>
  </si>
  <si>
    <t>Restricted Fund</t>
  </si>
  <si>
    <t>Total Current Funds Budget</t>
  </si>
  <si>
    <t>Revenues</t>
  </si>
  <si>
    <t>Student Tuition and Fees</t>
  </si>
  <si>
    <t>Resident Tuition - COF</t>
  </si>
  <si>
    <t>Resident Tuition - Student Share</t>
  </si>
  <si>
    <t>Non-Resident Tuition</t>
  </si>
  <si>
    <t>Other tuition - Continuing Education</t>
  </si>
  <si>
    <t>Student fees</t>
  </si>
  <si>
    <t>Subtotal - Student Tuition and Fees</t>
  </si>
  <si>
    <t>Investment and Interest Income</t>
  </si>
  <si>
    <t>Grants and Contracts</t>
  </si>
  <si>
    <t>Federal Grants &amp; Contracts</t>
  </si>
  <si>
    <t>State and Local Grants &amp; Contracts</t>
  </si>
  <si>
    <t>Tobacco Funding</t>
  </si>
  <si>
    <t>Fee for Service Contract</t>
  </si>
  <si>
    <t>Subtotal - Grants &amp; Contracts</t>
  </si>
  <si>
    <t>Private/other gifts, grants and contracts</t>
  </si>
  <si>
    <t>Sales &amp; Services of educational departments</t>
  </si>
  <si>
    <t>Auxiliary Operating Revenues</t>
  </si>
  <si>
    <t>Health Services</t>
  </si>
  <si>
    <t>Other Revenues:</t>
  </si>
  <si>
    <t>Indirect Cost Reimbursement</t>
  </si>
  <si>
    <t>Denver AHEC Library Funding</t>
  </si>
  <si>
    <t>Other Sources</t>
  </si>
  <si>
    <t>TOTAL REVENUES</t>
  </si>
  <si>
    <t>Expenditures</t>
  </si>
  <si>
    <t>Educational &amp; General: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</si>
  <si>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</si>
  <si>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</si>
  <si>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</si>
  <si>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</si>
  <si>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</si>
  <si>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</si>
  <si>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Operations of Plant</t>
  </si>
  <si>
    <t>Scholarships &amp; Fellowships</t>
  </si>
  <si>
    <t>Auxiliary operating expenditures</t>
  </si>
  <si>
    <t>Other</t>
  </si>
  <si>
    <t>TOTAL EXPENDITURES</t>
  </si>
  <si>
    <t>Transfers Between Funds</t>
  </si>
  <si>
    <t>Mandatory Transfers</t>
  </si>
  <si>
    <t>Principal and interest</t>
  </si>
  <si>
    <t>Renewals &amp; replacements</t>
  </si>
  <si>
    <t>Matching funds/Other</t>
  </si>
  <si>
    <t>Subtotal -- Mandatory Transfers</t>
  </si>
  <si>
    <t>Voluntary Transfers &amp; Other</t>
  </si>
  <si>
    <t>Restricted receipts to be expended in future years</t>
  </si>
  <si>
    <t>Other/Carryforwards</t>
  </si>
  <si>
    <t>Subtotal Voluntary Transfers</t>
  </si>
  <si>
    <t>TOTAL EXPENDITURES &amp; TRANSFERS</t>
  </si>
  <si>
    <t>Net Increase (Decrease) in Fund Balances</t>
  </si>
  <si>
    <t>Anschutz Medical Campus</t>
  </si>
  <si>
    <t>Colorado Springs Campus</t>
  </si>
  <si>
    <t>Boulder Campus</t>
  </si>
  <si>
    <t>Notes:</t>
  </si>
  <si>
    <t xml:space="preserve">    1) This schedule does not include revenue or expenses associated with the Direct Lending Program.   Direct Lending is reported outside of the current funds.</t>
  </si>
  <si>
    <t xml:space="preserve">     For FY2015, the Direct Lending amount is estimated to be $132M and $133M in FY2016.  Pell and Work Study financial aid are in the Restricted Fund.</t>
  </si>
  <si>
    <t>2) Restricted fund revenues exclude funding for research capital projects and indirect cost recoveries, the latter estimated to be $83M in FY2015 and $86M in FY2016.</t>
  </si>
  <si>
    <t>3) Internal service revenue/expense activity is excluded from this schedule.</t>
  </si>
  <si>
    <t xml:space="preserve">4) All Auxiliary tuition for Continuing Education is classified as "Other Tuition" on this schedule. </t>
  </si>
  <si>
    <t>5) Scholarship allowance, fixed assets and other GASB-related adjustments are not included in the above figures.</t>
  </si>
  <si>
    <t>6) The financial aid budget in the General Fund, including Esteemed Scholars, is estimated to be $62M in FY2015 and $68M in FY2016. Actual financial aid activity occurs in multiple expenditure categories.</t>
  </si>
  <si>
    <t xml:space="preserve">    7) Activity budgeted in expense purpose codes occasionally may be expensed in other expense purpose codes.</t>
  </si>
  <si>
    <t>8) Advancement activities of $11M are reflected in the restricted fund Institutional Support for FY2015 and FY2016.</t>
  </si>
  <si>
    <t>CU Consolidated</t>
  </si>
  <si>
    <t>FY 2016-17</t>
  </si>
  <si>
    <t>Note:</t>
  </si>
  <si>
    <t>Annual budget estimates for the current fiscal year may be updated after the university’s financial software upgrade is complete.</t>
  </si>
  <si>
    <t>Updated:</t>
  </si>
  <si>
    <t>FY 2016-17 Current Funds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</si>
</sst>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_);[Red]\([$$-409]#,##0\)"/>
    <numFmt numFmtId="165" formatCode="0.0%"/>
    <numFmt numFmtId="166" formatCode="[$$-409]#,##0"/>
    <numFmt numFmtId="167" formatCode="[$$-409]#,##0.00_);[Red]\([$$-409]#,##0.00\)"/>
    <numFmt numFmtId="168" formatCode="[$$-409]#,##0.0_);[Red]\([$$-409]#,##0.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u/>
      <sz val="12"/>
      <name val="Arial"/>
      <family val="2"/>
    </font>
    <font>
      <sz val="8.5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6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1" fillId="4" borderId="0" applyNumberFormat="0" applyBorder="0" applyAlignment="0" applyProtection="0"/>
    <xf numFmtId="0" fontId="12" fillId="21" borderId="27" applyNumberFormat="0" applyAlignment="0" applyProtection="0"/>
    <xf numFmtId="0" fontId="13" fillId="22" borderId="28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0" borderId="29" applyNumberFormat="0" applyFill="0" applyAlignment="0" applyProtection="0"/>
    <xf numFmtId="0" fontId="17" fillId="0" borderId="30" applyNumberFormat="0" applyFill="0" applyAlignment="0" applyProtection="0"/>
    <xf numFmtId="0" fontId="18" fillId="0" borderId="31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27" applyNumberFormat="0" applyAlignment="0" applyProtection="0"/>
    <xf numFmtId="0" fontId="20" fillId="0" borderId="32" applyNumberFormat="0" applyFill="0" applyAlignment="0" applyProtection="0"/>
    <xf numFmtId="0" fontId="21" fillId="23" borderId="0" applyNumberFormat="0" applyBorder="0" applyAlignment="0" applyProtection="0"/>
    <xf numFmtId="0" fontId="8" fillId="0" borderId="0"/>
    <xf numFmtId="0" fontId="8" fillId="24" borderId="33" applyNumberFormat="0" applyFont="0" applyAlignment="0" applyProtection="0"/>
    <xf numFmtId="0" fontId="22" fillId="21" borderId="34" applyNumberFormat="0" applyAlignment="0" applyProtection="0"/>
    <xf numFmtId="0" fontId="23" fillId="0" borderId="0" applyNumberFormat="0" applyFill="0" applyBorder="0" applyAlignment="0" applyProtection="0"/>
    <xf numFmtId="0" fontId="24" fillId="0" borderId="3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216">
    <xf numFmtId="0" fontId="0" fillId="0" borderId="0" xfId="0"/>
    <xf numFmtId="164" fontId="2" fillId="0" borderId="0" xfId="0" applyNumberFormat="1" applyFont="1" applyAlignment="1">
      <alignment horizontal="centerContinuous"/>
    </xf>
    <xf numFmtId="164" fontId="3" fillId="0" borderId="0" xfId="0" applyNumberFormat="1" applyFont="1"/>
    <xf numFmtId="164" fontId="4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/>
    <xf numFmtId="164" fontId="2" fillId="2" borderId="6" xfId="0" applyNumberFormat="1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2" fillId="0" borderId="7" xfId="0" applyNumberFormat="1" applyFont="1" applyBorder="1"/>
    <xf numFmtId="164" fontId="2" fillId="0" borderId="8" xfId="0" applyNumberFormat="1" applyFont="1" applyBorder="1" applyAlignment="1"/>
    <xf numFmtId="164" fontId="3" fillId="0" borderId="8" xfId="0" applyNumberFormat="1" applyFont="1" applyBorder="1" applyAlignment="1">
      <alignment wrapText="1"/>
    </xf>
    <xf numFmtId="164" fontId="3" fillId="0" borderId="7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wrapText="1"/>
    </xf>
    <xf numFmtId="164" fontId="3" fillId="0" borderId="9" xfId="0" applyNumberFormat="1" applyFont="1" applyBorder="1" applyAlignment="1">
      <alignment wrapText="1"/>
    </xf>
    <xf numFmtId="164" fontId="3" fillId="0" borderId="7" xfId="0" applyNumberFormat="1" applyFont="1" applyBorder="1"/>
    <xf numFmtId="164" fontId="3" fillId="0" borderId="8" xfId="0" applyNumberFormat="1" applyFont="1" applyBorder="1" applyAlignment="1"/>
    <xf numFmtId="164" fontId="3" fillId="0" borderId="7" xfId="0" applyNumberFormat="1" applyFont="1" applyBorder="1" applyAlignment="1">
      <alignment horizontal="left" indent="1"/>
    </xf>
    <xf numFmtId="164" fontId="3" fillId="0" borderId="10" xfId="0" applyNumberFormat="1" applyFont="1" applyBorder="1" applyAlignment="1">
      <alignment horizontal="left" indent="1"/>
    </xf>
    <xf numFmtId="164" fontId="2" fillId="0" borderId="11" xfId="0" applyNumberFormat="1" applyFont="1" applyBorder="1" applyAlignment="1">
      <alignment horizontal="right"/>
    </xf>
    <xf numFmtId="164" fontId="2" fillId="0" borderId="12" xfId="0" applyNumberFormat="1" applyFont="1" applyBorder="1" applyAlignment="1"/>
    <xf numFmtId="164" fontId="2" fillId="0" borderId="12" xfId="0" applyNumberFormat="1" applyFont="1" applyBorder="1" applyAlignment="1">
      <alignment wrapText="1"/>
    </xf>
    <xf numFmtId="164" fontId="2" fillId="0" borderId="11" xfId="0" applyNumberFormat="1" applyFont="1" applyBorder="1" applyAlignment="1">
      <alignment wrapText="1"/>
    </xf>
    <xf numFmtId="164" fontId="2" fillId="0" borderId="13" xfId="0" applyNumberFormat="1" applyFont="1" applyBorder="1" applyAlignment="1">
      <alignment wrapText="1"/>
    </xf>
    <xf numFmtId="164" fontId="2" fillId="0" borderId="0" xfId="0" applyNumberFormat="1" applyFont="1"/>
    <xf numFmtId="164" fontId="3" fillId="0" borderId="8" xfId="0" applyNumberFormat="1" applyFont="1" applyFill="1" applyBorder="1" applyAlignment="1">
      <alignment wrapText="1"/>
    </xf>
    <xf numFmtId="164" fontId="3" fillId="0" borderId="14" xfId="0" applyNumberFormat="1" applyFont="1" applyBorder="1" applyAlignment="1">
      <alignment horizontal="left" indent="1"/>
    </xf>
    <xf numFmtId="164" fontId="3" fillId="0" borderId="15" xfId="0" applyNumberFormat="1" applyFont="1" applyBorder="1" applyAlignment="1">
      <alignment wrapText="1"/>
    </xf>
    <xf numFmtId="164" fontId="3" fillId="0" borderId="16" xfId="0" applyNumberFormat="1" applyFont="1" applyFill="1" applyBorder="1" applyAlignment="1">
      <alignment wrapText="1"/>
    </xf>
    <xf numFmtId="164" fontId="2" fillId="0" borderId="17" xfId="0" applyNumberFormat="1" applyFont="1" applyBorder="1"/>
    <xf numFmtId="164" fontId="2" fillId="0" borderId="18" xfId="0" applyNumberFormat="1" applyFont="1" applyBorder="1" applyAlignment="1"/>
    <xf numFmtId="164" fontId="2" fillId="0" borderId="18" xfId="0" applyNumberFormat="1" applyFont="1" applyBorder="1" applyAlignment="1">
      <alignment wrapText="1"/>
    </xf>
    <xf numFmtId="164" fontId="2" fillId="0" borderId="17" xfId="0" applyNumberFormat="1" applyFont="1" applyBorder="1" applyAlignment="1">
      <alignment wrapText="1"/>
    </xf>
    <xf numFmtId="164" fontId="2" fillId="0" borderId="19" xfId="0" applyNumberFormat="1" applyFont="1" applyBorder="1" applyAlignment="1">
      <alignment wrapText="1"/>
    </xf>
    <xf numFmtId="164" fontId="2" fillId="0" borderId="20" xfId="0" applyNumberFormat="1" applyFont="1" applyBorder="1" applyAlignment="1">
      <alignment wrapText="1"/>
    </xf>
    <xf numFmtId="165" fontId="3" fillId="0" borderId="0" xfId="2" applyNumberFormat="1" applyFont="1"/>
    <xf numFmtId="164" fontId="3" fillId="0" borderId="14" xfId="0" applyNumberFormat="1" applyFont="1" applyBorder="1"/>
    <xf numFmtId="164" fontId="3" fillId="0" borderId="19" xfId="0" applyNumberFormat="1" applyFont="1" applyBorder="1" applyAlignment="1">
      <alignment wrapText="1"/>
    </xf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 applyAlignment="1"/>
    <xf numFmtId="164" fontId="3" fillId="0" borderId="12" xfId="0" applyNumberFormat="1" applyFont="1" applyBorder="1" applyAlignment="1">
      <alignment wrapText="1"/>
    </xf>
    <xf numFmtId="164" fontId="3" fillId="0" borderId="11" xfId="0" applyNumberFormat="1" applyFont="1" applyBorder="1" applyAlignment="1">
      <alignment wrapText="1"/>
    </xf>
    <xf numFmtId="164" fontId="3" fillId="0" borderId="13" xfId="0" applyNumberFormat="1" applyFont="1" applyBorder="1" applyAlignment="1">
      <alignment wrapText="1"/>
    </xf>
    <xf numFmtId="164" fontId="3" fillId="0" borderId="21" xfId="0" applyNumberFormat="1" applyFont="1" applyBorder="1" applyAlignment="1"/>
    <xf numFmtId="164" fontId="3" fillId="0" borderId="21" xfId="0" applyNumberFormat="1" applyFont="1" applyBorder="1" applyAlignment="1">
      <alignment wrapText="1"/>
    </xf>
    <xf numFmtId="164" fontId="3" fillId="0" borderId="10" xfId="0" applyNumberFormat="1" applyFont="1" applyBorder="1" applyAlignment="1">
      <alignment wrapText="1"/>
    </xf>
    <xf numFmtId="164" fontId="3" fillId="0" borderId="22" xfId="0" applyNumberFormat="1" applyFont="1" applyBorder="1" applyAlignment="1">
      <alignment horizontal="right"/>
    </xf>
    <xf numFmtId="164" fontId="3" fillId="0" borderId="23" xfId="0" applyNumberFormat="1" applyFont="1" applyBorder="1" applyAlignment="1"/>
    <xf numFmtId="164" fontId="3" fillId="0" borderId="23" xfId="0" applyNumberFormat="1" applyFont="1" applyBorder="1" applyAlignment="1">
      <alignment wrapText="1"/>
    </xf>
    <xf numFmtId="164" fontId="3" fillId="0" borderId="14" xfId="0" applyNumberFormat="1" applyFont="1" applyBorder="1" applyAlignment="1">
      <alignment wrapText="1"/>
    </xf>
    <xf numFmtId="164" fontId="3" fillId="0" borderId="16" xfId="0" applyNumberFormat="1" applyFont="1" applyBorder="1" applyAlignment="1">
      <alignment wrapText="1"/>
    </xf>
    <xf numFmtId="164" fontId="2" fillId="0" borderId="10" xfId="0" applyNumberFormat="1" applyFont="1" applyBorder="1"/>
    <xf numFmtId="164" fontId="2" fillId="0" borderId="21" xfId="0" applyNumberFormat="1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164" fontId="3" fillId="0" borderId="5" xfId="0" applyNumberFormat="1" applyFont="1" applyBorder="1"/>
    <xf numFmtId="164" fontId="3" fillId="0" borderId="24" xfId="0" applyNumberFormat="1" applyFont="1" applyBorder="1" applyAlignment="1"/>
    <xf numFmtId="166" fontId="3" fillId="0" borderId="24" xfId="0" applyNumberFormat="1" applyFont="1" applyBorder="1" applyAlignment="1">
      <alignment wrapText="1"/>
    </xf>
    <xf numFmtId="166" fontId="3" fillId="0" borderId="5" xfId="0" applyNumberFormat="1" applyFont="1" applyBorder="1" applyAlignment="1">
      <alignment wrapText="1"/>
    </xf>
    <xf numFmtId="166" fontId="3" fillId="0" borderId="25" xfId="0" applyNumberFormat="1" applyFont="1" applyBorder="1" applyAlignment="1">
      <alignment wrapText="1"/>
    </xf>
    <xf numFmtId="164" fontId="6" fillId="0" borderId="0" xfId="0" applyNumberFormat="1" applyFont="1" applyAlignment="1"/>
    <xf numFmtId="164" fontId="6" fillId="0" borderId="0" xfId="0" applyNumberFormat="1" applyFont="1"/>
    <xf numFmtId="164" fontId="3" fillId="0" borderId="0" xfId="0" applyNumberFormat="1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Fill="1" applyAlignment="1">
      <alignment horizontal="left" indent="1"/>
    </xf>
    <xf numFmtId="0" fontId="7" fillId="0" borderId="0" xfId="0" applyFont="1" applyFill="1" applyAlignment="1"/>
    <xf numFmtId="164" fontId="3" fillId="0" borderId="0" xfId="0" applyNumberFormat="1" applyFont="1" applyAlignment="1"/>
    <xf numFmtId="164" fontId="4" fillId="0" borderId="0" xfId="0" applyNumberFormat="1" applyFont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 indent="1"/>
    </xf>
    <xf numFmtId="164" fontId="2" fillId="0" borderId="12" xfId="0" applyNumberFormat="1" applyFont="1" applyBorder="1" applyAlignment="1">
      <alignment horizontal="right"/>
    </xf>
    <xf numFmtId="164" fontId="3" fillId="0" borderId="7" xfId="0" quotePrefix="1" applyNumberFormat="1" applyFont="1" applyBorder="1" applyAlignment="1">
      <alignment wrapText="1"/>
    </xf>
    <xf numFmtId="164" fontId="2" fillId="0" borderId="1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3" fillId="0" borderId="21" xfId="0" applyNumberFormat="1" applyFont="1" applyBorder="1" applyAlignment="1">
      <alignment horizontal="right" indent="1"/>
    </xf>
    <xf numFmtId="164" fontId="3" fillId="0" borderId="23" xfId="0" applyNumberFormat="1" applyFont="1" applyBorder="1" applyAlignment="1">
      <alignment horizontal="right"/>
    </xf>
    <xf numFmtId="164" fontId="2" fillId="0" borderId="21" xfId="0" applyNumberFormat="1" applyFont="1" applyBorder="1" applyAlignment="1">
      <alignment horizontal="right"/>
    </xf>
    <xf numFmtId="6" fontId="3" fillId="0" borderId="24" xfId="0" applyNumberFormat="1" applyFont="1" applyBorder="1" applyAlignment="1">
      <alignment horizontal="right"/>
    </xf>
    <xf numFmtId="6" fontId="3" fillId="0" borderId="24" xfId="0" applyNumberFormat="1" applyFont="1" applyBorder="1" applyAlignment="1">
      <alignment wrapText="1"/>
    </xf>
    <xf numFmtId="6" fontId="3" fillId="0" borderId="5" xfId="0" applyNumberFormat="1" applyFont="1" applyBorder="1" applyAlignment="1">
      <alignment wrapText="1"/>
    </xf>
    <xf numFmtId="6" fontId="3" fillId="0" borderId="25" xfId="0" applyNumberFormat="1" applyFont="1" applyBorder="1" applyAlignment="1">
      <alignment wrapText="1"/>
    </xf>
    <xf numFmtId="164" fontId="6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right" indent="1"/>
    </xf>
    <xf numFmtId="164" fontId="3" fillId="0" borderId="0" xfId="0" applyNumberFormat="1" applyFont="1" applyAlignment="1">
      <alignment horizontal="right"/>
    </xf>
    <xf numFmtId="164" fontId="3" fillId="0" borderId="0" xfId="51" applyNumberFormat="1" applyFont="1"/>
    <xf numFmtId="164" fontId="3" fillId="0" borderId="0" xfId="51" applyNumberFormat="1" applyFont="1" applyAlignment="1">
      <alignment wrapText="1"/>
    </xf>
    <xf numFmtId="0" fontId="7" fillId="0" borderId="0" xfId="51" applyFont="1" applyFill="1" applyAlignment="1">
      <alignment horizontal="left" indent="1"/>
    </xf>
    <xf numFmtId="0" fontId="7" fillId="0" borderId="0" xfId="51" applyFont="1" applyAlignment="1">
      <alignment horizontal="left"/>
    </xf>
    <xf numFmtId="164" fontId="3" fillId="0" borderId="0" xfId="51" applyNumberFormat="1" applyFont="1" applyAlignment="1"/>
    <xf numFmtId="164" fontId="6" fillId="0" borderId="0" xfId="51" applyNumberFormat="1" applyFont="1"/>
    <xf numFmtId="164" fontId="3" fillId="0" borderId="24" xfId="51" applyNumberFormat="1" applyFont="1" applyBorder="1" applyAlignment="1">
      <alignment wrapText="1"/>
    </xf>
    <xf numFmtId="164" fontId="3" fillId="0" borderId="26" xfId="51" applyNumberFormat="1" applyFont="1" applyBorder="1" applyAlignment="1"/>
    <xf numFmtId="164" fontId="3" fillId="0" borderId="25" xfId="51" applyNumberFormat="1" applyFont="1" applyBorder="1" applyAlignment="1"/>
    <xf numFmtId="164" fontId="3" fillId="0" borderId="5" xfId="51" applyNumberFormat="1" applyFont="1" applyBorder="1" applyAlignment="1"/>
    <xf numFmtId="164" fontId="3" fillId="0" borderId="24" xfId="51" applyNumberFormat="1" applyFont="1" applyBorder="1" applyAlignment="1"/>
    <xf numFmtId="164" fontId="3" fillId="0" borderId="5" xfId="51" applyNumberFormat="1" applyFont="1" applyBorder="1"/>
    <xf numFmtId="164" fontId="3" fillId="0" borderId="8" xfId="51" applyNumberFormat="1" applyFont="1" applyBorder="1" applyAlignment="1">
      <alignment wrapText="1"/>
    </xf>
    <xf numFmtId="164" fontId="3" fillId="0" borderId="36" xfId="51" applyNumberFormat="1" applyFont="1" applyBorder="1" applyAlignment="1">
      <alignment wrapText="1"/>
    </xf>
    <xf numFmtId="164" fontId="3" fillId="0" borderId="37" xfId="51" applyNumberFormat="1" applyFont="1" applyBorder="1" applyAlignment="1"/>
    <xf numFmtId="164" fontId="3" fillId="0" borderId="38" xfId="51" applyNumberFormat="1" applyFont="1" applyBorder="1" applyAlignment="1">
      <alignment wrapText="1"/>
    </xf>
    <xf numFmtId="164" fontId="3" fillId="0" borderId="8" xfId="51" applyNumberFormat="1" applyFont="1" applyBorder="1" applyAlignment="1"/>
    <xf numFmtId="164" fontId="3" fillId="0" borderId="7" xfId="51" applyNumberFormat="1" applyFont="1" applyBorder="1"/>
    <xf numFmtId="164" fontId="2" fillId="0" borderId="0" xfId="51" applyNumberFormat="1" applyFont="1"/>
    <xf numFmtId="164" fontId="2" fillId="0" borderId="18" xfId="51" applyNumberFormat="1" applyFont="1" applyBorder="1" applyAlignment="1">
      <alignment wrapText="1"/>
    </xf>
    <xf numFmtId="164" fontId="2" fillId="0" borderId="19" xfId="51" applyNumberFormat="1" applyFont="1" applyBorder="1" applyAlignment="1">
      <alignment wrapText="1"/>
    </xf>
    <xf numFmtId="164" fontId="2" fillId="0" borderId="10" xfId="51" applyNumberFormat="1" applyFont="1" applyBorder="1"/>
    <xf numFmtId="164" fontId="3" fillId="0" borderId="23" xfId="51" applyNumberFormat="1" applyFont="1" applyBorder="1" applyAlignment="1"/>
    <xf numFmtId="164" fontId="3" fillId="0" borderId="22" xfId="51" applyNumberFormat="1" applyFont="1" applyBorder="1" applyAlignment="1">
      <alignment horizontal="right"/>
    </xf>
    <xf numFmtId="164" fontId="3" fillId="0" borderId="19" xfId="51" applyNumberFormat="1" applyFont="1" applyBorder="1" applyAlignment="1">
      <alignment wrapText="1"/>
    </xf>
    <xf numFmtId="164" fontId="3" fillId="0" borderId="10" xfId="51" applyNumberFormat="1" applyFont="1" applyBorder="1" applyAlignment="1">
      <alignment horizontal="left" indent="1"/>
    </xf>
    <xf numFmtId="164" fontId="3" fillId="0" borderId="0" xfId="51" applyNumberFormat="1" applyFont="1" applyBorder="1" applyAlignment="1">
      <alignment wrapText="1"/>
    </xf>
    <xf numFmtId="164" fontId="3" fillId="0" borderId="7" xfId="51" applyNumberFormat="1" applyFont="1" applyBorder="1" applyAlignment="1">
      <alignment wrapText="1"/>
    </xf>
    <xf numFmtId="164" fontId="3" fillId="0" borderId="7" xfId="51" applyNumberFormat="1" applyFont="1" applyBorder="1" applyAlignment="1">
      <alignment horizontal="left" indent="1"/>
    </xf>
    <xf numFmtId="164" fontId="3" fillId="0" borderId="12" xfId="51" applyNumberFormat="1" applyFont="1" applyBorder="1" applyAlignment="1">
      <alignment wrapText="1"/>
    </xf>
    <xf numFmtId="164" fontId="3" fillId="0" borderId="11" xfId="51" applyNumberFormat="1" applyFont="1" applyBorder="1" applyAlignment="1">
      <alignment wrapText="1"/>
    </xf>
    <xf numFmtId="164" fontId="3" fillId="0" borderId="12" xfId="51" applyNumberFormat="1" applyFont="1" applyBorder="1" applyAlignment="1"/>
    <xf numFmtId="164" fontId="3" fillId="0" borderId="11" xfId="51" applyNumberFormat="1" applyFont="1" applyBorder="1" applyAlignment="1">
      <alignment horizontal="right"/>
    </xf>
    <xf numFmtId="164" fontId="2" fillId="0" borderId="8" xfId="51" applyNumberFormat="1" applyFont="1" applyBorder="1" applyAlignment="1"/>
    <xf numFmtId="164" fontId="2" fillId="0" borderId="7" xfId="51" applyNumberFormat="1" applyFont="1" applyBorder="1"/>
    <xf numFmtId="164" fontId="2" fillId="0" borderId="18" xfId="51" applyNumberFormat="1" applyFont="1" applyBorder="1" applyAlignment="1"/>
    <xf numFmtId="164" fontId="2" fillId="0" borderId="17" xfId="51" applyNumberFormat="1" applyFont="1" applyBorder="1"/>
    <xf numFmtId="164" fontId="3" fillId="0" borderId="14" xfId="51" applyNumberFormat="1" applyFont="1" applyBorder="1"/>
    <xf numFmtId="9" fontId="3" fillId="0" borderId="0" xfId="52" applyFont="1"/>
    <xf numFmtId="164" fontId="3" fillId="0" borderId="0" xfId="51" applyNumberFormat="1" applyFont="1" applyAlignment="1">
      <alignment horizontal="right"/>
    </xf>
    <xf numFmtId="164" fontId="2" fillId="0" borderId="20" xfId="51" applyNumberFormat="1" applyFont="1" applyBorder="1" applyAlignment="1">
      <alignment wrapText="1"/>
    </xf>
    <xf numFmtId="164" fontId="2" fillId="0" borderId="17" xfId="51" applyNumberFormat="1" applyFont="1" applyBorder="1" applyAlignment="1">
      <alignment wrapText="1"/>
    </xf>
    <xf numFmtId="164" fontId="3" fillId="0" borderId="14" xfId="51" applyNumberFormat="1" applyFont="1" applyBorder="1" applyAlignment="1">
      <alignment horizontal="left" indent="1"/>
    </xf>
    <xf numFmtId="164" fontId="2" fillId="0" borderId="12" xfId="51" applyNumberFormat="1" applyFont="1" applyBorder="1" applyAlignment="1">
      <alignment wrapText="1"/>
    </xf>
    <xf numFmtId="164" fontId="2" fillId="0" borderId="13" xfId="51" applyNumberFormat="1" applyFont="1" applyBorder="1" applyAlignment="1">
      <alignment wrapText="1"/>
    </xf>
    <xf numFmtId="164" fontId="2" fillId="0" borderId="11" xfId="51" applyNumberFormat="1" applyFont="1" applyBorder="1" applyAlignment="1">
      <alignment wrapText="1"/>
    </xf>
    <xf numFmtId="164" fontId="2" fillId="0" borderId="12" xfId="51" applyNumberFormat="1" applyFont="1" applyBorder="1" applyAlignment="1"/>
    <xf numFmtId="164" fontId="2" fillId="0" borderId="11" xfId="51" applyNumberFormat="1" applyFont="1" applyBorder="1" applyAlignment="1">
      <alignment horizontal="right"/>
    </xf>
    <xf numFmtId="164" fontId="3" fillId="0" borderId="9" xfId="51" applyNumberFormat="1" applyFont="1" applyBorder="1" applyAlignment="1">
      <alignment wrapText="1"/>
    </xf>
    <xf numFmtId="164" fontId="2" fillId="0" borderId="0" xfId="51" applyNumberFormat="1" applyFont="1" applyAlignment="1">
      <alignment horizontal="center"/>
    </xf>
    <xf numFmtId="164" fontId="4" fillId="0" borderId="0" xfId="51" applyNumberFormat="1" applyFont="1" applyAlignment="1">
      <alignment horizontal="center"/>
    </xf>
    <xf numFmtId="164" fontId="4" fillId="0" borderId="0" xfId="51" applyNumberFormat="1" applyFont="1" applyFill="1" applyAlignment="1">
      <alignment horizontal="center"/>
    </xf>
    <xf numFmtId="0" fontId="4" fillId="0" borderId="0" xfId="51" applyNumberFormat="1" applyFont="1" applyAlignment="1">
      <alignment horizontal="centerContinuous"/>
    </xf>
    <xf numFmtId="0" fontId="2" fillId="0" borderId="0" xfId="51" applyNumberFormat="1" applyFont="1" applyAlignment="1">
      <alignment horizontal="centerContinuous"/>
    </xf>
    <xf numFmtId="164" fontId="2" fillId="0" borderId="8" xfId="51" applyNumberFormat="1" applyFont="1" applyBorder="1"/>
    <xf numFmtId="164" fontId="3" fillId="0" borderId="8" xfId="51" applyNumberFormat="1" applyFont="1" applyBorder="1"/>
    <xf numFmtId="164" fontId="3" fillId="0" borderId="13" xfId="51" applyNumberFormat="1" applyFont="1" applyBorder="1" applyAlignment="1">
      <alignment wrapText="1"/>
    </xf>
    <xf numFmtId="164" fontId="6" fillId="0" borderId="0" xfId="51" applyNumberFormat="1" applyFont="1" applyFill="1"/>
    <xf numFmtId="0" fontId="7" fillId="0" borderId="0" xfId="51" applyFont="1" applyFill="1" applyAlignment="1">
      <alignment horizontal="left"/>
    </xf>
    <xf numFmtId="164" fontId="3" fillId="0" borderId="7" xfId="51" applyNumberFormat="1" applyFont="1" applyBorder="1" applyAlignment="1"/>
    <xf numFmtId="164" fontId="3" fillId="0" borderId="42" xfId="51" applyNumberFormat="1" applyFont="1" applyBorder="1" applyAlignment="1"/>
    <xf numFmtId="164" fontId="3" fillId="0" borderId="0" xfId="51" applyNumberFormat="1" applyFont="1" applyBorder="1" applyAlignment="1"/>
    <xf numFmtId="164" fontId="3" fillId="0" borderId="15" xfId="51" applyNumberFormat="1" applyFont="1" applyBorder="1" applyAlignment="1"/>
    <xf numFmtId="164" fontId="3" fillId="0" borderId="19" xfId="51" applyNumberFormat="1" applyFont="1" applyBorder="1" applyAlignment="1"/>
    <xf numFmtId="164" fontId="3" fillId="0" borderId="10" xfId="51" applyNumberFormat="1" applyFont="1" applyBorder="1" applyAlignment="1"/>
    <xf numFmtId="164" fontId="3" fillId="0" borderId="41" xfId="51" applyNumberFormat="1" applyFont="1" applyBorder="1" applyAlignment="1"/>
    <xf numFmtId="164" fontId="3" fillId="0" borderId="24" xfId="0" applyNumberFormat="1" applyFont="1" applyBorder="1" applyAlignment="1">
      <alignment wrapText="1"/>
    </xf>
    <xf numFmtId="165" fontId="2" fillId="0" borderId="0" xfId="2" applyNumberFormat="1" applyFont="1"/>
    <xf numFmtId="164" fontId="2" fillId="0" borderId="0" xfId="51" applyNumberFormat="1" applyFont="1" applyAlignment="1">
      <alignment horizontal="center" wrapText="1"/>
    </xf>
    <xf numFmtId="164" fontId="3" fillId="0" borderId="0" xfId="51" applyNumberFormat="1" applyFont="1" applyFill="1" applyBorder="1" applyAlignment="1"/>
    <xf numFmtId="164" fontId="3" fillId="0" borderId="42" xfId="51" applyNumberFormat="1" applyFont="1" applyFill="1" applyBorder="1" applyAlignment="1"/>
    <xf numFmtId="164" fontId="2" fillId="0" borderId="13" xfId="51" applyNumberFormat="1" applyFont="1" applyFill="1" applyBorder="1" applyAlignment="1">
      <alignment wrapText="1"/>
    </xf>
    <xf numFmtId="164" fontId="3" fillId="0" borderId="15" xfId="51" applyNumberFormat="1" applyFont="1" applyFill="1" applyBorder="1" applyAlignment="1"/>
    <xf numFmtId="164" fontId="3" fillId="0" borderId="7" xfId="51" applyNumberFormat="1" applyFont="1" applyBorder="1" applyAlignment="1">
      <alignment horizontal="left" indent="2"/>
    </xf>
    <xf numFmtId="164" fontId="3" fillId="0" borderId="22" xfId="51" applyNumberFormat="1" applyFont="1" applyBorder="1" applyAlignment="1"/>
    <xf numFmtId="164" fontId="3" fillId="0" borderId="43" xfId="51" applyNumberFormat="1" applyFont="1" applyBorder="1" applyAlignment="1"/>
    <xf numFmtId="164" fontId="3" fillId="0" borderId="16" xfId="51" applyNumberFormat="1" applyFont="1" applyBorder="1" applyAlignment="1"/>
    <xf numFmtId="164" fontId="3" fillId="0" borderId="7" xfId="51" applyNumberFormat="1" applyFont="1" applyBorder="1" applyAlignment="1">
      <alignment horizontal="left" wrapText="1" inden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4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4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wrapText="1"/>
    </xf>
    <xf numFmtId="164" fontId="3" fillId="0" borderId="40" xfId="0" applyNumberFormat="1" applyFont="1" applyBorder="1" applyAlignment="1">
      <alignment wrapText="1"/>
    </xf>
    <xf numFmtId="164" fontId="2" fillId="0" borderId="18" xfId="0" applyNumberFormat="1" applyFont="1" applyBorder="1"/>
    <xf numFmtId="164" fontId="2" fillId="0" borderId="44" xfId="0" applyNumberFormat="1" applyFont="1" applyBorder="1" applyAlignment="1">
      <alignment wrapText="1"/>
    </xf>
    <xf numFmtId="164" fontId="3" fillId="0" borderId="18" xfId="0" applyNumberFormat="1" applyFont="1" applyBorder="1" applyAlignment="1">
      <alignment wrapText="1"/>
    </xf>
    <xf numFmtId="164" fontId="3" fillId="0" borderId="8" xfId="0" applyNumberFormat="1" applyFont="1" applyBorder="1"/>
    <xf numFmtId="164" fontId="2" fillId="0" borderId="8" xfId="0" applyNumberFormat="1" applyFont="1" applyBorder="1"/>
    <xf numFmtId="164" fontId="3" fillId="0" borderId="39" xfId="0" applyNumberFormat="1" applyFont="1" applyBorder="1" applyAlignment="1">
      <alignment wrapText="1"/>
    </xf>
    <xf numFmtId="164" fontId="2" fillId="0" borderId="21" xfId="0" applyNumberFormat="1" applyFont="1" applyBorder="1"/>
    <xf numFmtId="164" fontId="3" fillId="0" borderId="0" xfId="0" quotePrefix="1" applyNumberFormat="1" applyFont="1" applyBorder="1" applyAlignment="1">
      <alignment wrapText="1"/>
    </xf>
    <xf numFmtId="164" fontId="2" fillId="0" borderId="24" xfId="0" applyNumberFormat="1" applyFont="1" applyBorder="1" applyAlignment="1"/>
    <xf numFmtId="164" fontId="2" fillId="0" borderId="24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2" fillId="0" borderId="25" xfId="0" applyNumberFormat="1" applyFont="1" applyBorder="1" applyAlignment="1">
      <alignment wrapText="1"/>
    </xf>
    <xf numFmtId="10" fontId="3" fillId="0" borderId="0" xfId="2" applyNumberFormat="1" applyFont="1"/>
    <xf numFmtId="164" fontId="3" fillId="0" borderId="7" xfId="0" applyNumberFormat="1" applyFont="1" applyFill="1" applyBorder="1" applyAlignment="1">
      <alignment wrapText="1"/>
    </xf>
    <xf numFmtId="164" fontId="2" fillId="0" borderId="11" xfId="0" applyNumberFormat="1" applyFont="1" applyFill="1" applyBorder="1" applyAlignment="1">
      <alignment wrapText="1"/>
    </xf>
    <xf numFmtId="164" fontId="2" fillId="0" borderId="13" xfId="0" applyNumberFormat="1" applyFont="1" applyFill="1" applyBorder="1" applyAlignment="1">
      <alignment wrapText="1"/>
    </xf>
    <xf numFmtId="164" fontId="3" fillId="0" borderId="12" xfId="0" applyNumberFormat="1" applyFont="1" applyFill="1" applyBorder="1" applyAlignment="1">
      <alignment wrapText="1"/>
    </xf>
    <xf numFmtId="164" fontId="3" fillId="0" borderId="15" xfId="0" applyNumberFormat="1" applyFont="1" applyFill="1" applyBorder="1" applyAlignment="1">
      <alignment wrapText="1"/>
    </xf>
    <xf numFmtId="164" fontId="2" fillId="0" borderId="17" xfId="0" applyNumberFormat="1" applyFont="1" applyFill="1" applyBorder="1" applyAlignment="1">
      <alignment wrapText="1"/>
    </xf>
    <xf numFmtId="164" fontId="2" fillId="0" borderId="19" xfId="0" applyNumberFormat="1" applyFont="1" applyFill="1" applyBorder="1" applyAlignment="1">
      <alignment wrapText="1"/>
    </xf>
    <xf numFmtId="164" fontId="2" fillId="0" borderId="20" xfId="0" applyNumberFormat="1" applyFont="1" applyFill="1" applyBorder="1" applyAlignment="1">
      <alignment wrapText="1"/>
    </xf>
    <xf numFmtId="164" fontId="3" fillId="0" borderId="18" xfId="0" applyNumberFormat="1" applyFont="1" applyFill="1" applyBorder="1" applyAlignment="1">
      <alignment wrapText="1"/>
    </xf>
    <xf numFmtId="164" fontId="3" fillId="0" borderId="0" xfId="51" applyNumberFormat="1" applyFont="1" applyFill="1"/>
    <xf numFmtId="167" fontId="3" fillId="0" borderId="0" xfId="51" applyNumberFormat="1" applyFont="1"/>
    <xf numFmtId="9" fontId="3" fillId="0" borderId="0" xfId="2" applyNumberFormat="1" applyFont="1"/>
    <xf numFmtId="164" fontId="2" fillId="0" borderId="46" xfId="51" applyNumberFormat="1" applyFont="1" applyBorder="1"/>
    <xf numFmtId="164" fontId="2" fillId="0" borderId="45" xfId="51" applyNumberFormat="1" applyFont="1" applyBorder="1" applyAlignment="1"/>
    <xf numFmtId="164" fontId="2" fillId="0" borderId="46" xfId="51" applyNumberFormat="1" applyFont="1" applyBorder="1" applyAlignment="1"/>
    <xf numFmtId="164" fontId="2" fillId="0" borderId="47" xfId="51" applyNumberFormat="1" applyFont="1" applyBorder="1" applyAlignment="1"/>
    <xf numFmtId="168" fontId="3" fillId="0" borderId="0" xfId="51" applyNumberFormat="1" applyFont="1"/>
    <xf numFmtId="164" fontId="2" fillId="0" borderId="0" xfId="51" applyNumberFormat="1" applyFont="1" applyFill="1"/>
    <xf numFmtId="165" fontId="3" fillId="0" borderId="0" xfId="2" applyNumberFormat="1" applyFont="1" applyFill="1"/>
    <xf numFmtId="164" fontId="5" fillId="0" borderId="0" xfId="51" applyNumberFormat="1" applyFont="1" applyFill="1"/>
    <xf numFmtId="9" fontId="3" fillId="0" borderId="0" xfId="2" applyFont="1" applyFill="1"/>
    <xf numFmtId="164" fontId="3" fillId="0" borderId="0" xfId="0" applyNumberFormat="1" applyFont="1" applyFill="1"/>
    <xf numFmtId="9" fontId="2" fillId="0" borderId="0" xfId="2" applyFont="1" applyFill="1"/>
    <xf numFmtId="43" fontId="3" fillId="0" borderId="0" xfId="1" applyFont="1" applyFill="1"/>
    <xf numFmtId="14" fontId="3" fillId="0" borderId="0" xfId="51" applyNumberFormat="1" applyFont="1" applyAlignment="1">
      <alignment horizontal="left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4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</cellXfs>
  <cellStyles count="60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" xfId="1" builtinId="3"/>
    <cellStyle name="Comma 2" xfId="33"/>
    <cellStyle name="Comma 2 2" xfId="53"/>
    <cellStyle name="Comma 3" xfId="5"/>
    <cellStyle name="Comma 4" xfId="34"/>
    <cellStyle name="Comma 4 2" xfId="54"/>
    <cellStyle name="Comma 5" xfId="35"/>
    <cellStyle name="Comma 5 2" xfId="55"/>
    <cellStyle name="Currency 2" xfId="4"/>
    <cellStyle name="Currency 3" xfId="56"/>
    <cellStyle name="Currency 3 2" xfId="57"/>
    <cellStyle name="Explanatory Text 2" xfId="36"/>
    <cellStyle name="Good 2" xfId="37"/>
    <cellStyle name="Heading 1 2" xfId="38"/>
    <cellStyle name="Heading 2 2" xfId="39"/>
    <cellStyle name="Heading 3 2" xfId="40"/>
    <cellStyle name="Heading 4 2" xfId="41"/>
    <cellStyle name="Input 2" xfId="42"/>
    <cellStyle name="Linked Cell 2" xfId="43"/>
    <cellStyle name="Neutral 2" xfId="44"/>
    <cellStyle name="Normal" xfId="0" builtinId="0"/>
    <cellStyle name="Normal 2" xfId="3"/>
    <cellStyle name="Normal 2 2" xfId="58"/>
    <cellStyle name="Normal 2 2 2" xfId="59"/>
    <cellStyle name="Normal 3" xfId="45"/>
    <cellStyle name="Normal 4" xfId="51"/>
    <cellStyle name="Note 2" xfId="46"/>
    <cellStyle name="Output 2" xfId="47"/>
    <cellStyle name="Percent" xfId="2" builtinId="5"/>
    <cellStyle name="Percent 2" xfId="52"/>
    <cellStyle name="Title 2" xfId="48"/>
    <cellStyle name="Total 2" xfId="49"/>
    <cellStyle name="Warning Text 2" xfId="50"/>
  </cellStyles>
  <dxfs count="0"/>
  <tableStyles count="0" defaultTableStyle="TableStyleMedium2" defaultPivotStyle="PivotStyleLight16"/>
  <colors>
    <mruColors>
      <color rgb="FFE1DDC9"/>
      <color rgb="FFCFB87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tabSelected="1" zoomScaleNormal="100" workbookViewId="0">
      <selection activeCell="I1" sqref="I1"/>
    </sheetView>
  </sheetViews>
  <sheetFormatPr defaultRowHeight="15" x14ac:dyDescent="0.2"/>
  <cols>
    <col min="1" max="1" width="45.42578125" style="85" customWidth="1"/>
    <col min="2" max="3" width="18.42578125" style="85" customWidth="1"/>
    <col min="4" max="7" width="18.42578125" style="86" customWidth="1"/>
    <col min="8" max="8" width="9.140625" style="85"/>
    <col min="9" max="9" width="17.28515625" style="85" customWidth="1"/>
    <col min="10" max="11" width="12.28515625" style="85" customWidth="1"/>
    <col min="12" max="13" width="9.140625" style="85"/>
    <col min="14" max="14" width="20.5703125" style="85" customWidth="1"/>
    <col min="15" max="15" width="9.140625" style="85"/>
    <col min="16" max="16" width="12.140625" style="85" customWidth="1"/>
    <col min="17" max="16384" width="9.140625" style="85"/>
  </cols>
  <sheetData>
    <row r="1" spans="1:17" ht="15.75" x14ac:dyDescent="0.25">
      <c r="A1" s="138" t="s">
        <v>77</v>
      </c>
      <c r="B1" s="138"/>
      <c r="C1" s="138"/>
      <c r="D1" s="138"/>
      <c r="E1" s="138"/>
      <c r="F1" s="138"/>
      <c r="G1" s="138"/>
    </row>
    <row r="2" spans="1:17" ht="15.75" x14ac:dyDescent="0.25">
      <c r="A2" s="138" t="s">
        <v>0</v>
      </c>
      <c r="B2" s="138"/>
      <c r="C2" s="138"/>
      <c r="D2" s="138"/>
      <c r="E2" s="138"/>
      <c r="F2" s="138"/>
      <c r="G2" s="138"/>
    </row>
    <row r="3" spans="1:17" x14ac:dyDescent="0.2">
      <c r="A3" s="137" t="s">
        <v>72</v>
      </c>
      <c r="B3" s="137"/>
      <c r="C3" s="137"/>
      <c r="D3" s="137"/>
      <c r="E3" s="137"/>
      <c r="F3" s="137"/>
      <c r="G3" s="137"/>
    </row>
    <row r="4" spans="1:17" ht="15.75" thickBot="1" x14ac:dyDescent="0.25">
      <c r="A4" s="135"/>
      <c r="B4" s="135"/>
      <c r="C4" s="135"/>
      <c r="D4" s="135"/>
      <c r="E4" s="135"/>
      <c r="F4" s="135"/>
      <c r="G4" s="135"/>
    </row>
    <row r="5" spans="1:17" ht="16.5" customHeight="1" thickBot="1" x14ac:dyDescent="0.3">
      <c r="A5" s="209" t="s">
        <v>2</v>
      </c>
      <c r="B5" s="211" t="s">
        <v>3</v>
      </c>
      <c r="C5" s="212"/>
      <c r="D5" s="213" t="s">
        <v>73</v>
      </c>
      <c r="E5" s="214"/>
      <c r="F5" s="214"/>
      <c r="G5" s="215"/>
    </row>
    <row r="6" spans="1:17" s="134" customFormat="1" ht="53.25" customHeight="1" thickBot="1" x14ac:dyDescent="0.3">
      <c r="A6" s="210"/>
      <c r="B6" s="6" t="s">
        <v>4</v>
      </c>
      <c r="C6" s="6" t="s">
        <v>5</v>
      </c>
      <c r="D6" s="166" t="s">
        <v>6</v>
      </c>
      <c r="E6" s="167" t="s">
        <v>7</v>
      </c>
      <c r="F6" s="167" t="s">
        <v>8</v>
      </c>
      <c r="G6" s="168" t="s">
        <v>9</v>
      </c>
    </row>
    <row r="7" spans="1:17" ht="17.25" customHeight="1" x14ac:dyDescent="0.25">
      <c r="A7" s="119" t="s">
        <v>10</v>
      </c>
      <c r="B7" s="139"/>
      <c r="C7" s="97"/>
      <c r="D7" s="112"/>
      <c r="E7" s="111"/>
      <c r="F7" s="111"/>
      <c r="G7" s="133"/>
      <c r="I7" s="194"/>
    </row>
    <row r="8" spans="1:17" ht="17.25" customHeight="1" x14ac:dyDescent="0.2">
      <c r="A8" s="102" t="s">
        <v>11</v>
      </c>
      <c r="B8" s="101"/>
      <c r="C8" s="97"/>
      <c r="D8" s="112"/>
      <c r="E8" s="111"/>
      <c r="F8" s="111"/>
      <c r="G8" s="97"/>
    </row>
    <row r="9" spans="1:17" ht="17.25" customHeight="1" x14ac:dyDescent="0.2">
      <c r="A9" s="113" t="s">
        <v>12</v>
      </c>
      <c r="B9" s="101">
        <f>Boulder!B9+UCCS!B9+Denver!B9+Anschutz!B9</f>
        <v>61246415</v>
      </c>
      <c r="C9" s="101">
        <f>Boulder!C9+UCCS!C9+Denver!C9+Anschutz!C9</f>
        <v>62068264</v>
      </c>
      <c r="D9" s="144">
        <f>Boulder!D9+UCCS!D9+Denver!D9+Anschutz!D9</f>
        <v>62352540</v>
      </c>
      <c r="E9" s="146">
        <f>Boulder!E9+UCCS!E9+Denver!E9+Anschutz!E9</f>
        <v>0</v>
      </c>
      <c r="F9" s="145">
        <f>Boulder!F9+UCCS!F9+Denver!F9+Anschutz!F9</f>
        <v>0</v>
      </c>
      <c r="G9" s="101">
        <f t="shared" ref="G9:G60" si="0">SUM(D9:F9)</f>
        <v>62352540</v>
      </c>
    </row>
    <row r="10" spans="1:17" ht="17.25" customHeight="1" x14ac:dyDescent="0.2">
      <c r="A10" s="113" t="s">
        <v>13</v>
      </c>
      <c r="B10" s="101">
        <f>Boulder!B10+UCCS!B10+Denver!B10+Anschutz!B10</f>
        <v>423597698</v>
      </c>
      <c r="C10" s="101">
        <f>Boulder!C10+UCCS!C10+Denver!C10+Anschutz!C10</f>
        <v>426709769</v>
      </c>
      <c r="D10" s="144">
        <f>Boulder!D10+UCCS!D10+Denver!D10+Anschutz!D10</f>
        <v>447027606</v>
      </c>
      <c r="E10" s="146">
        <f>Boulder!E10+UCCS!E10+Denver!E10+Anschutz!E10</f>
        <v>0</v>
      </c>
      <c r="F10" s="145">
        <f>Boulder!F10+UCCS!F10+Denver!F10+Anschutz!F10</f>
        <v>0</v>
      </c>
      <c r="G10" s="101">
        <f t="shared" si="0"/>
        <v>447027606</v>
      </c>
      <c r="I10" s="193"/>
      <c r="J10" s="193"/>
      <c r="K10" s="193"/>
      <c r="L10" s="193"/>
      <c r="M10" s="193"/>
      <c r="N10" s="193"/>
      <c r="O10" s="193"/>
      <c r="P10" s="193"/>
      <c r="Q10" s="193"/>
    </row>
    <row r="11" spans="1:17" ht="17.25" customHeight="1" x14ac:dyDescent="0.2">
      <c r="A11" s="113" t="s">
        <v>14</v>
      </c>
      <c r="B11" s="101">
        <f>Boulder!B11+UCCS!B11+Denver!B11+Anschutz!B11</f>
        <v>459320080</v>
      </c>
      <c r="C11" s="101">
        <f>Boulder!C11+UCCS!C11+Denver!C11+Anschutz!C11</f>
        <v>457741364</v>
      </c>
      <c r="D11" s="144">
        <f>Boulder!D11+UCCS!D11+Denver!D11+Anschutz!D11</f>
        <v>491783255</v>
      </c>
      <c r="E11" s="146">
        <f>Boulder!E11+UCCS!E11+Denver!E11+Anschutz!E11</f>
        <v>0</v>
      </c>
      <c r="F11" s="145">
        <f>Boulder!F11+UCCS!F11+Denver!F11+Anschutz!F11</f>
        <v>0</v>
      </c>
      <c r="G11" s="101">
        <f t="shared" si="0"/>
        <v>491783255</v>
      </c>
      <c r="I11" s="193"/>
      <c r="J11" s="193"/>
      <c r="K11" s="193"/>
      <c r="L11" s="193"/>
      <c r="M11" s="193"/>
      <c r="N11" s="193"/>
      <c r="O11" s="193"/>
      <c r="P11" s="193"/>
      <c r="Q11" s="193"/>
    </row>
    <row r="12" spans="1:17" ht="17.25" customHeight="1" x14ac:dyDescent="0.2">
      <c r="A12" s="113" t="s">
        <v>15</v>
      </c>
      <c r="B12" s="101">
        <f>Boulder!B12+UCCS!B12+Denver!B12+Anschutz!B12</f>
        <v>66495877</v>
      </c>
      <c r="C12" s="101">
        <f>Boulder!C12+UCCS!C12+Denver!C12+Anschutz!C12</f>
        <v>62688015</v>
      </c>
      <c r="D12" s="144">
        <f>Boulder!D12+UCCS!D12+Denver!D12+Anschutz!D12</f>
        <v>0</v>
      </c>
      <c r="E12" s="146">
        <f>Boulder!E12+UCCS!E12+Denver!E12+Anschutz!E12</f>
        <v>62624321</v>
      </c>
      <c r="F12" s="145">
        <f>Boulder!F12+UCCS!F12+Denver!F12+Anschutz!F12</f>
        <v>0</v>
      </c>
      <c r="G12" s="101">
        <f t="shared" si="0"/>
        <v>62624321</v>
      </c>
      <c r="I12" s="193"/>
      <c r="J12" s="193"/>
      <c r="K12" s="193"/>
      <c r="L12" s="193"/>
      <c r="M12" s="193"/>
      <c r="N12" s="193"/>
      <c r="O12" s="193"/>
      <c r="P12" s="193"/>
      <c r="Q12" s="193"/>
    </row>
    <row r="13" spans="1:17" ht="17.25" customHeight="1" x14ac:dyDescent="0.2">
      <c r="A13" s="110" t="s">
        <v>16</v>
      </c>
      <c r="B13" s="101">
        <f>Boulder!B13+UCCS!B13+Denver!B13+Anschutz!B13</f>
        <v>107015035</v>
      </c>
      <c r="C13" s="101">
        <f>Boulder!C13+UCCS!C13+Denver!C13+Anschutz!C13</f>
        <v>117842769</v>
      </c>
      <c r="D13" s="144">
        <f>Boulder!D13+UCCS!D13+Denver!D13+Anschutz!D13</f>
        <v>47401468</v>
      </c>
      <c r="E13" s="146">
        <f>Boulder!E13+UCCS!E13+Denver!E13+Anschutz!E13</f>
        <v>69652279</v>
      </c>
      <c r="F13" s="145">
        <f>Boulder!F13+UCCS!F13+Denver!F13+Anschutz!F13</f>
        <v>0</v>
      </c>
      <c r="G13" s="101">
        <f t="shared" si="0"/>
        <v>117053747</v>
      </c>
      <c r="I13" s="193"/>
      <c r="J13" s="193"/>
      <c r="K13" s="193"/>
      <c r="L13" s="193"/>
      <c r="M13" s="193"/>
      <c r="N13" s="193"/>
      <c r="O13" s="193"/>
      <c r="P13" s="193"/>
      <c r="Q13" s="193"/>
    </row>
    <row r="14" spans="1:17" s="103" customFormat="1" ht="17.25" customHeight="1" x14ac:dyDescent="0.25">
      <c r="A14" s="132" t="s">
        <v>17</v>
      </c>
      <c r="B14" s="131">
        <f t="shared" ref="B14:C14" si="1">SUM(B9:B13)</f>
        <v>1117675105</v>
      </c>
      <c r="C14" s="128">
        <f t="shared" si="1"/>
        <v>1127050181</v>
      </c>
      <c r="D14" s="130">
        <f>SUM(D9:D13)</f>
        <v>1048564869</v>
      </c>
      <c r="E14" s="129">
        <f t="shared" ref="E14:F14" si="2">SUM(E9:E13)</f>
        <v>132276600</v>
      </c>
      <c r="F14" s="129">
        <f t="shared" si="2"/>
        <v>0</v>
      </c>
      <c r="G14" s="131">
        <f t="shared" si="0"/>
        <v>1180841469</v>
      </c>
      <c r="I14" s="201"/>
      <c r="J14" s="201"/>
      <c r="K14" s="201"/>
      <c r="L14" s="201"/>
      <c r="M14" s="201"/>
      <c r="N14" s="193"/>
      <c r="O14" s="193"/>
      <c r="P14" s="193"/>
      <c r="Q14" s="201"/>
    </row>
    <row r="15" spans="1:17" ht="17.25" customHeight="1" x14ac:dyDescent="0.2">
      <c r="A15" s="102" t="s">
        <v>18</v>
      </c>
      <c r="B15" s="101">
        <f>Boulder!B15+UCCS!B15+Denver!B15+Anschutz!B15</f>
        <v>12541151</v>
      </c>
      <c r="C15" s="101">
        <f>Boulder!C15+UCCS!C15+Denver!C15+Anschutz!C15</f>
        <v>10925306</v>
      </c>
      <c r="D15" s="144">
        <f>Boulder!D15+UCCS!D15+Denver!D15+Anschutz!D15</f>
        <v>0</v>
      </c>
      <c r="E15" s="154">
        <f>Boulder!E15+UCCS!E15+Denver!E15+Anschutz!E15</f>
        <v>7720177</v>
      </c>
      <c r="F15" s="155">
        <f>Boulder!F15+UCCS!F15+Denver!F15+Anschutz!F15</f>
        <v>3325790</v>
      </c>
      <c r="G15" s="101">
        <f t="shared" ref="G15" si="3">SUM(D15:F15)</f>
        <v>11045967</v>
      </c>
      <c r="I15" s="193"/>
      <c r="J15" s="193"/>
      <c r="K15" s="193"/>
      <c r="L15" s="193"/>
      <c r="M15" s="193"/>
      <c r="N15" s="193"/>
      <c r="O15" s="193"/>
      <c r="P15" s="193"/>
      <c r="Q15" s="193"/>
    </row>
    <row r="16" spans="1:17" ht="17.25" customHeight="1" x14ac:dyDescent="0.2">
      <c r="A16" s="102" t="s">
        <v>19</v>
      </c>
      <c r="B16" s="101"/>
      <c r="C16" s="101"/>
      <c r="D16" s="144"/>
      <c r="E16" s="154"/>
      <c r="F16" s="155"/>
      <c r="G16" s="101"/>
      <c r="I16" s="193"/>
      <c r="J16" s="193"/>
      <c r="K16" s="193"/>
      <c r="L16" s="193"/>
      <c r="M16" s="193"/>
      <c r="N16" s="193"/>
      <c r="O16" s="202"/>
      <c r="P16" s="193"/>
      <c r="Q16" s="193"/>
    </row>
    <row r="17" spans="1:19" ht="17.25" customHeight="1" x14ac:dyDescent="0.2">
      <c r="A17" s="113" t="s">
        <v>20</v>
      </c>
      <c r="B17" s="101">
        <f>Boulder!B17+UCCS!B17+Denver!B17+Anschutz!B17</f>
        <v>550726461</v>
      </c>
      <c r="C17" s="101">
        <f>Boulder!C17+UCCS!C17+Denver!C17+Anschutz!C17</f>
        <v>557328496</v>
      </c>
      <c r="D17" s="144">
        <f>Boulder!D17+UCCS!D17+Denver!D17+Anschutz!D17</f>
        <v>0</v>
      </c>
      <c r="E17" s="154">
        <f>Boulder!E17+UCCS!E17+Denver!E17+Anschutz!E17</f>
        <v>0</v>
      </c>
      <c r="F17" s="155">
        <f>Boulder!F17+UCCS!F17+Denver!F17+Anschutz!F17</f>
        <v>585793428.55999994</v>
      </c>
      <c r="G17" s="101">
        <f t="shared" si="0"/>
        <v>585793428.55999994</v>
      </c>
      <c r="I17" s="193"/>
      <c r="J17" s="193"/>
      <c r="K17" s="193"/>
      <c r="L17" s="193"/>
      <c r="M17" s="193"/>
      <c r="N17" s="193"/>
      <c r="O17" s="202"/>
      <c r="P17" s="193"/>
      <c r="Q17" s="193"/>
    </row>
    <row r="18" spans="1:19" ht="17.25" customHeight="1" x14ac:dyDescent="0.2">
      <c r="A18" s="113" t="s">
        <v>21</v>
      </c>
      <c r="B18" s="101">
        <f>Boulder!B18+UCCS!B18+Denver!B18+Anschutz!B18</f>
        <v>53972781</v>
      </c>
      <c r="C18" s="101">
        <f>Boulder!C18+UCCS!C18+Denver!C18+Anschutz!C18</f>
        <v>52080570</v>
      </c>
      <c r="D18" s="144">
        <f>Boulder!D18+UCCS!D18+Denver!D18+Anschutz!D18</f>
        <v>0</v>
      </c>
      <c r="E18" s="154">
        <f>Boulder!E18+UCCS!E18+Denver!E18+Anschutz!E18</f>
        <v>0</v>
      </c>
      <c r="F18" s="155">
        <f>Boulder!F18+UCCS!F18+Denver!F18+Anschutz!F18</f>
        <v>54858609</v>
      </c>
      <c r="G18" s="101">
        <f t="shared" si="0"/>
        <v>54858609</v>
      </c>
      <c r="I18" s="193"/>
      <c r="J18" s="202"/>
      <c r="K18" s="203"/>
      <c r="L18" s="193"/>
      <c r="M18" s="193"/>
      <c r="N18" s="193"/>
      <c r="O18" s="202"/>
      <c r="P18" s="193"/>
      <c r="Q18" s="193"/>
    </row>
    <row r="19" spans="1:19" ht="17.25" customHeight="1" x14ac:dyDescent="0.2">
      <c r="A19" s="113" t="s">
        <v>22</v>
      </c>
      <c r="B19" s="101">
        <f>Boulder!B19+UCCS!B19+Denver!B19+Anschutz!B19</f>
        <v>12500677</v>
      </c>
      <c r="C19" s="101">
        <f>Boulder!C19+UCCS!C19+Denver!C19+Anschutz!C19</f>
        <v>12428440</v>
      </c>
      <c r="D19" s="144">
        <f>Boulder!D19+UCCS!D19+Denver!D19+Anschutz!D19</f>
        <v>15325373</v>
      </c>
      <c r="E19" s="154">
        <f>Boulder!E19+UCCS!E19+Denver!E19+Anschutz!E19</f>
        <v>0</v>
      </c>
      <c r="F19" s="155">
        <f>Boulder!F19+UCCS!F19+Denver!F19+Anschutz!F19</f>
        <v>0</v>
      </c>
      <c r="G19" s="101">
        <f t="shared" si="0"/>
        <v>15325373</v>
      </c>
      <c r="I19" s="193"/>
      <c r="J19" s="193"/>
      <c r="K19" s="203"/>
      <c r="L19" s="193"/>
      <c r="M19" s="193"/>
      <c r="N19" s="193"/>
      <c r="O19" s="202"/>
      <c r="P19" s="193"/>
      <c r="Q19" s="193"/>
    </row>
    <row r="20" spans="1:19" ht="17.25" customHeight="1" x14ac:dyDescent="0.2">
      <c r="A20" s="110" t="s">
        <v>23</v>
      </c>
      <c r="B20" s="101">
        <f>Boulder!B20+UCCS!B20+Denver!B20+Anschutz!B20</f>
        <v>123369252</v>
      </c>
      <c r="C20" s="101">
        <f>Boulder!C20+UCCS!C20+Denver!C20+Anschutz!C20</f>
        <v>122547403</v>
      </c>
      <c r="D20" s="144">
        <f>Boulder!D20+UCCS!D20+Denver!D20+Anschutz!D20</f>
        <v>124180146</v>
      </c>
      <c r="E20" s="154">
        <f>Boulder!E20+UCCS!E20+Denver!E20+Anschutz!E20</f>
        <v>0</v>
      </c>
      <c r="F20" s="155">
        <f>Boulder!F20+UCCS!F20+Denver!F20+Anschutz!F20</f>
        <v>0</v>
      </c>
      <c r="G20" s="101">
        <f t="shared" si="0"/>
        <v>124180146</v>
      </c>
      <c r="I20" s="193"/>
      <c r="J20" s="202"/>
      <c r="K20" s="203"/>
      <c r="L20" s="193"/>
      <c r="M20" s="193"/>
      <c r="N20" s="193"/>
      <c r="O20" s="202"/>
      <c r="P20" s="193"/>
      <c r="Q20" s="193"/>
    </row>
    <row r="21" spans="1:19" s="103" customFormat="1" ht="17.25" customHeight="1" x14ac:dyDescent="0.25">
      <c r="A21" s="132" t="s">
        <v>24</v>
      </c>
      <c r="B21" s="131">
        <f>SUM(B15:B20)</f>
        <v>753110322</v>
      </c>
      <c r="C21" s="128">
        <f t="shared" ref="C21:F21" si="4">SUM(C15:C20)</f>
        <v>755310215</v>
      </c>
      <c r="D21" s="130">
        <f t="shared" si="4"/>
        <v>139505519</v>
      </c>
      <c r="E21" s="156">
        <f t="shared" si="4"/>
        <v>7720177</v>
      </c>
      <c r="F21" s="156">
        <f t="shared" si="4"/>
        <v>643977827.55999994</v>
      </c>
      <c r="G21" s="131">
        <f t="shared" si="0"/>
        <v>791203523.55999994</v>
      </c>
      <c r="I21" s="193"/>
      <c r="J21" s="202"/>
      <c r="K21" s="203"/>
      <c r="L21" s="201"/>
      <c r="M21" s="201"/>
      <c r="N21" s="193"/>
      <c r="O21" s="193"/>
      <c r="P21" s="193"/>
      <c r="Q21" s="201"/>
    </row>
    <row r="22" spans="1:19" ht="17.25" customHeight="1" x14ac:dyDescent="0.2">
      <c r="A22" s="102" t="s">
        <v>25</v>
      </c>
      <c r="B22" s="101">
        <f>Boulder!B22+UCCS!B22+Denver!B22+Anschutz!B22</f>
        <v>265322895</v>
      </c>
      <c r="C22" s="101">
        <f>Boulder!C22+UCCS!C22+Denver!C22+Anschutz!C22</f>
        <v>261507030</v>
      </c>
      <c r="D22" s="144">
        <f>Boulder!D22+UCCS!D22+Denver!D22+Anschutz!D22</f>
        <v>0</v>
      </c>
      <c r="E22" s="154">
        <f>Boulder!E22+UCCS!E22+Denver!E22+Anschutz!E22</f>
        <v>0</v>
      </c>
      <c r="F22" s="155">
        <f>Boulder!F22+UCCS!F22+Denver!F22+Anschutz!F22</f>
        <v>270076301.88</v>
      </c>
      <c r="G22" s="101">
        <f t="shared" si="0"/>
        <v>270076301.88</v>
      </c>
      <c r="I22" s="193"/>
      <c r="J22" s="202"/>
      <c r="K22" s="203"/>
      <c r="L22" s="193"/>
      <c r="M22" s="193"/>
      <c r="N22" s="193"/>
      <c r="O22" s="193"/>
      <c r="P22" s="193"/>
      <c r="Q22" s="193"/>
    </row>
    <row r="23" spans="1:19" ht="17.25" customHeight="1" x14ac:dyDescent="0.2">
      <c r="A23" s="102" t="s">
        <v>26</v>
      </c>
      <c r="B23" s="101">
        <f>Boulder!B23+UCCS!B23+Denver!B23+Anschutz!B23</f>
        <v>196521554</v>
      </c>
      <c r="C23" s="101">
        <f>Boulder!C23+UCCS!C23+Denver!C23+Anschutz!C23</f>
        <v>190043989</v>
      </c>
      <c r="D23" s="144">
        <f>Boulder!D23+UCCS!D23+Denver!D23+Anschutz!D23</f>
        <v>0</v>
      </c>
      <c r="E23" s="154">
        <f>Boulder!E23+UCCS!E23+Denver!E23+Anschutz!E23</f>
        <v>194331435</v>
      </c>
      <c r="F23" s="155">
        <f>Boulder!F23+UCCS!F23+Denver!F23+Anschutz!F23</f>
        <v>0</v>
      </c>
      <c r="G23" s="101">
        <f t="shared" si="0"/>
        <v>194331435</v>
      </c>
      <c r="I23" s="193"/>
      <c r="J23" s="193"/>
      <c r="K23" s="193"/>
      <c r="L23" s="193"/>
      <c r="M23" s="193"/>
      <c r="N23" s="193"/>
      <c r="O23" s="204"/>
      <c r="P23" s="193"/>
      <c r="Q23" s="193"/>
    </row>
    <row r="24" spans="1:19" ht="17.25" customHeight="1" x14ac:dyDescent="0.2">
      <c r="A24" s="102" t="s">
        <v>27</v>
      </c>
      <c r="B24" s="101">
        <f>Boulder!B24+UCCS!B24+Denver!B24+Anschutz!B24</f>
        <v>252513937</v>
      </c>
      <c r="C24" s="101">
        <f>Boulder!C24+UCCS!C24+Denver!C24+Anschutz!C24</f>
        <v>263880021</v>
      </c>
      <c r="D24" s="144">
        <f>Boulder!D24+UCCS!D24+Denver!D24+Anschutz!D24</f>
        <v>0</v>
      </c>
      <c r="E24" s="154">
        <f>Boulder!E24+UCCS!E24+Denver!E24+Anschutz!E24</f>
        <v>281928616</v>
      </c>
      <c r="F24" s="155">
        <f>Boulder!F24+UCCS!F24+Denver!F24+Anschutz!F24</f>
        <v>0</v>
      </c>
      <c r="G24" s="101">
        <f t="shared" si="0"/>
        <v>281928616</v>
      </c>
      <c r="I24" s="193"/>
      <c r="J24" s="193"/>
      <c r="K24" s="193"/>
      <c r="L24" s="193"/>
      <c r="M24" s="193"/>
      <c r="N24" s="193"/>
      <c r="O24" s="204"/>
      <c r="P24" s="193"/>
      <c r="Q24" s="193"/>
    </row>
    <row r="25" spans="1:19" ht="17.25" customHeight="1" x14ac:dyDescent="0.2">
      <c r="A25" s="102" t="s">
        <v>28</v>
      </c>
      <c r="B25" s="101">
        <f>Boulder!B25+UCCS!B25+Denver!B25+Anschutz!B25</f>
        <v>738380984</v>
      </c>
      <c r="C25" s="101">
        <f>Boulder!C25+UCCS!C25+Denver!C25+Anschutz!C25</f>
        <v>765138441</v>
      </c>
      <c r="D25" s="144">
        <f>Boulder!D25+UCCS!D25+Denver!D25+Anschutz!D25</f>
        <v>2170000</v>
      </c>
      <c r="E25" s="154">
        <f>Boulder!E25+UCCS!E25+Denver!E25+Anschutz!E25</f>
        <v>850817766</v>
      </c>
      <c r="F25" s="155">
        <f>Boulder!F25+UCCS!F25+Denver!F25+Anschutz!F25</f>
        <v>0</v>
      </c>
      <c r="G25" s="101">
        <f t="shared" si="0"/>
        <v>852987766</v>
      </c>
      <c r="I25" s="193"/>
      <c r="J25" s="193"/>
      <c r="K25" s="193"/>
      <c r="L25" s="193"/>
      <c r="M25" s="193"/>
      <c r="N25" s="193"/>
      <c r="O25" s="204"/>
      <c r="P25" s="193"/>
      <c r="Q25" s="193"/>
    </row>
    <row r="26" spans="1:19" ht="17.25" customHeight="1" x14ac:dyDescent="0.2">
      <c r="A26" s="102" t="s">
        <v>29</v>
      </c>
      <c r="B26" s="101">
        <f>Boulder!B26+UCCS!B26+Denver!B26+Anschutz!B26</f>
        <v>0</v>
      </c>
      <c r="C26" s="101">
        <f>Boulder!C26+UCCS!C26+Denver!C26+Anschutz!C26</f>
        <v>0</v>
      </c>
      <c r="D26" s="144">
        <f>Boulder!D26+UCCS!D26+Denver!D26+Anschutz!D26</f>
        <v>0</v>
      </c>
      <c r="E26" s="154">
        <f>Boulder!E26+UCCS!E26+Denver!E26+Anschutz!E26</f>
        <v>0</v>
      </c>
      <c r="F26" s="155">
        <f>Boulder!F26+UCCS!F26+Denver!F26+Anschutz!F26</f>
        <v>0</v>
      </c>
      <c r="G26" s="101"/>
      <c r="I26" s="193"/>
      <c r="J26" s="193"/>
      <c r="K26" s="193"/>
      <c r="L26" s="193"/>
      <c r="M26" s="193"/>
      <c r="N26" s="193"/>
      <c r="O26" s="204"/>
      <c r="P26" s="193"/>
      <c r="Q26" s="193"/>
    </row>
    <row r="27" spans="1:19" ht="17.25" customHeight="1" x14ac:dyDescent="0.2">
      <c r="A27" s="113" t="s">
        <v>30</v>
      </c>
      <c r="B27" s="101">
        <f>Boulder!B27+UCCS!B27+Denver!B27+Anschutz!B27</f>
        <v>170340463</v>
      </c>
      <c r="C27" s="101">
        <f>Boulder!C27+UCCS!C27+Denver!C27+Anschutz!C27</f>
        <v>180038990</v>
      </c>
      <c r="D27" s="144">
        <f>Boulder!D27+UCCS!D27+Denver!D27+Anschutz!D27</f>
        <v>137552415</v>
      </c>
      <c r="E27" s="154">
        <f>Boulder!E27+UCCS!E27+Denver!E27+Anschutz!E27</f>
        <v>44079612</v>
      </c>
      <c r="F27" s="155">
        <f>Boulder!F27+UCCS!F27+Denver!F27+Anschutz!F27</f>
        <v>0</v>
      </c>
      <c r="G27" s="101">
        <f t="shared" si="0"/>
        <v>181632027</v>
      </c>
      <c r="I27" s="193"/>
      <c r="J27" s="193"/>
      <c r="K27" s="193"/>
      <c r="L27" s="193"/>
      <c r="M27" s="193"/>
      <c r="N27" s="193"/>
      <c r="O27" s="204"/>
      <c r="P27" s="193"/>
      <c r="Q27" s="193"/>
    </row>
    <row r="28" spans="1:19" ht="17.25" customHeight="1" x14ac:dyDescent="0.2">
      <c r="A28" s="113" t="s">
        <v>31</v>
      </c>
      <c r="B28" s="101">
        <f>Boulder!B28+UCCS!B28+Denver!B28+Anschutz!B28</f>
        <v>5080236</v>
      </c>
      <c r="C28" s="101">
        <f>Boulder!C28+UCCS!C28+Denver!C28+Anschutz!C28</f>
        <v>5080236</v>
      </c>
      <c r="D28" s="144">
        <f>Boulder!D28+UCCS!D28+Denver!D28+Anschutz!D28</f>
        <v>5147735</v>
      </c>
      <c r="E28" s="154">
        <f>Boulder!E28+UCCS!E28+Denver!E28+Anschutz!E28</f>
        <v>0</v>
      </c>
      <c r="F28" s="155">
        <f>Boulder!F28+UCCS!F28+Denver!F28+Anschutz!F28</f>
        <v>0</v>
      </c>
      <c r="G28" s="101">
        <f t="shared" si="0"/>
        <v>5147735</v>
      </c>
      <c r="I28" s="193"/>
      <c r="J28" s="193"/>
      <c r="K28" s="193"/>
      <c r="L28" s="193"/>
      <c r="M28" s="193"/>
      <c r="N28" s="193"/>
      <c r="O28" s="193"/>
      <c r="P28" s="193"/>
      <c r="Q28" s="193"/>
    </row>
    <row r="29" spans="1:19" ht="17.25" customHeight="1" thickBot="1" x14ac:dyDescent="0.25">
      <c r="A29" s="127" t="s">
        <v>32</v>
      </c>
      <c r="B29" s="101">
        <f>Boulder!B29+UCCS!B29+Denver!B29+Anschutz!B29</f>
        <v>67880552</v>
      </c>
      <c r="C29" s="101">
        <f>Boulder!C29+UCCS!C29+Denver!C29+Anschutz!C29</f>
        <v>66430258</v>
      </c>
      <c r="D29" s="144">
        <f>Boulder!D29+UCCS!D29+Denver!D29+Anschutz!D29</f>
        <v>28991967</v>
      </c>
      <c r="E29" s="157">
        <f>Boulder!E29+UCCS!E29+Denver!E29+Anschutz!E29</f>
        <v>32537487</v>
      </c>
      <c r="F29" s="155">
        <f>Boulder!F29+UCCS!F29+Denver!F29+Anschutz!F29</f>
        <v>0</v>
      </c>
      <c r="G29" s="101">
        <f t="shared" si="0"/>
        <v>61529454</v>
      </c>
      <c r="I29" s="193"/>
      <c r="J29" s="193"/>
      <c r="K29" s="193"/>
      <c r="L29" s="193"/>
      <c r="M29" s="193"/>
      <c r="N29" s="193"/>
      <c r="O29" s="193"/>
      <c r="P29" s="193"/>
      <c r="Q29" s="205"/>
      <c r="R29" s="2"/>
      <c r="S29" s="2"/>
    </row>
    <row r="30" spans="1:19" s="103" customFormat="1" ht="17.25" customHeight="1" thickTop="1" x14ac:dyDescent="0.25">
      <c r="A30" s="121" t="s">
        <v>33</v>
      </c>
      <c r="B30" s="120">
        <f>B14+B21+SUM(B22:B29)</f>
        <v>3566826048</v>
      </c>
      <c r="C30" s="104">
        <f t="shared" ref="C30:F30" si="5">C14+C21+SUM(C22:C29)</f>
        <v>3614479361</v>
      </c>
      <c r="D30" s="126">
        <f t="shared" si="5"/>
        <v>1361932505</v>
      </c>
      <c r="E30" s="105">
        <f t="shared" si="5"/>
        <v>1543691693</v>
      </c>
      <c r="F30" s="125">
        <f t="shared" si="5"/>
        <v>914054129.43999994</v>
      </c>
      <c r="G30" s="120">
        <f t="shared" si="0"/>
        <v>3819678327.4400001</v>
      </c>
      <c r="I30" s="201"/>
      <c r="J30" s="206"/>
      <c r="K30" s="201"/>
      <c r="L30" s="201"/>
      <c r="M30" s="201"/>
      <c r="N30" s="193"/>
      <c r="O30" s="204"/>
      <c r="P30" s="193"/>
      <c r="Q30" s="205"/>
      <c r="R30" s="183"/>
      <c r="S30" s="2"/>
    </row>
    <row r="31" spans="1:19" ht="17.25" customHeight="1" x14ac:dyDescent="0.2">
      <c r="A31" s="102"/>
      <c r="B31" s="101"/>
      <c r="C31" s="97"/>
      <c r="D31" s="112"/>
      <c r="E31" s="111"/>
      <c r="F31" s="111"/>
      <c r="G31" s="101"/>
      <c r="I31" s="193"/>
      <c r="J31" s="193"/>
      <c r="K31" s="193"/>
      <c r="L31" s="193"/>
      <c r="M31" s="193"/>
      <c r="N31" s="193"/>
      <c r="O31" s="204"/>
      <c r="P31" s="193"/>
      <c r="Q31" s="205"/>
      <c r="R31" s="2"/>
      <c r="S31" s="2"/>
    </row>
    <row r="32" spans="1:19" ht="17.25" customHeight="1" x14ac:dyDescent="0.25">
      <c r="A32" s="119" t="s">
        <v>34</v>
      </c>
      <c r="B32" s="118"/>
      <c r="C32" s="97"/>
      <c r="D32" s="112"/>
      <c r="E32" s="111"/>
      <c r="F32" s="111"/>
      <c r="G32" s="101"/>
      <c r="I32" s="193"/>
      <c r="J32" s="193"/>
      <c r="K32" s="193"/>
      <c r="L32" s="193"/>
      <c r="M32" s="193"/>
      <c r="N32" s="193"/>
      <c r="O32" s="204"/>
      <c r="P32" s="193"/>
      <c r="Q32" s="205"/>
      <c r="R32" s="183"/>
      <c r="S32" s="2"/>
    </row>
    <row r="33" spans="1:19" ht="17.25" customHeight="1" x14ac:dyDescent="0.2">
      <c r="A33" s="102" t="s">
        <v>35</v>
      </c>
      <c r="B33" s="101"/>
      <c r="C33" s="97"/>
      <c r="D33" s="112"/>
      <c r="E33" s="111"/>
      <c r="F33" s="111"/>
      <c r="G33" s="101"/>
      <c r="I33" s="193"/>
      <c r="J33" s="193"/>
      <c r="K33" s="193"/>
      <c r="L33" s="193"/>
      <c r="M33" s="193"/>
      <c r="N33" s="193"/>
      <c r="O33" s="204"/>
      <c r="P33" s="193"/>
      <c r="Q33" s="205"/>
      <c r="R33" s="183"/>
      <c r="S33" s="2"/>
    </row>
    <row r="34" spans="1:19" ht="17.25" customHeight="1" x14ac:dyDescent="0.2">
      <c r="A34" s="158" t="s">
        <v>36</v>
      </c>
      <c r="B34" s="101">
        <f>Boulder!B34+UCCS!B34+Denver!B34+Anschutz!B34</f>
        <v>971956643</v>
      </c>
      <c r="C34" s="101">
        <f>Boulder!C34+UCCS!C34+Denver!C34+Anschutz!C34</f>
        <v>981609632</v>
      </c>
      <c r="D34" s="144">
        <f>Boulder!D34+UCCS!D34+Denver!D34+Anschutz!D34</f>
        <v>662249682</v>
      </c>
      <c r="E34" s="146">
        <f>Boulder!E34+UCCS!E34+Denver!E34+Anschutz!E34</f>
        <v>208537376</v>
      </c>
      <c r="F34" s="145">
        <f>Boulder!F34+UCCS!F34+Denver!F34+Anschutz!F34</f>
        <v>155529025.27700001</v>
      </c>
      <c r="G34" s="101">
        <f t="shared" si="0"/>
        <v>1026316083.277</v>
      </c>
      <c r="I34" s="193"/>
      <c r="J34" s="202"/>
      <c r="K34" s="193"/>
      <c r="L34" s="193"/>
      <c r="M34" s="193"/>
      <c r="N34" s="193"/>
      <c r="O34" s="204"/>
      <c r="P34" s="193"/>
      <c r="Q34" s="205"/>
      <c r="R34" s="183"/>
      <c r="S34" s="2"/>
    </row>
    <row r="35" spans="1:19" ht="17.25" customHeight="1" x14ac:dyDescent="0.2">
      <c r="A35" s="158" t="s">
        <v>37</v>
      </c>
      <c r="B35" s="101">
        <f>Boulder!B35+UCCS!B35+Denver!B35+Anschutz!B35</f>
        <v>544617491</v>
      </c>
      <c r="C35" s="101">
        <f>Boulder!C35+UCCS!C35+Denver!C35+Anschutz!C35</f>
        <v>569132962</v>
      </c>
      <c r="D35" s="144">
        <f>Boulder!D35+UCCS!D35+Denver!D35+Anschutz!D35</f>
        <v>6071236</v>
      </c>
      <c r="E35" s="146">
        <f>Boulder!E35+UCCS!E35+Denver!E35+Anschutz!E35</f>
        <v>412330</v>
      </c>
      <c r="F35" s="145">
        <f>Boulder!F35+UCCS!F35+Denver!F35+Anschutz!F35</f>
        <v>574551129.07780004</v>
      </c>
      <c r="G35" s="101">
        <f t="shared" si="0"/>
        <v>581034695.07780004</v>
      </c>
      <c r="I35" s="193"/>
      <c r="J35" s="202"/>
      <c r="K35" s="193"/>
      <c r="L35" s="193"/>
      <c r="M35" s="193"/>
      <c r="N35" s="193"/>
      <c r="O35" s="204"/>
      <c r="P35" s="193"/>
      <c r="Q35" s="193"/>
    </row>
    <row r="36" spans="1:19" ht="17.25" customHeight="1" x14ac:dyDescent="0.2">
      <c r="A36" s="158" t="s">
        <v>38</v>
      </c>
      <c r="B36" s="101">
        <f>Boulder!B36+UCCS!B36+Denver!B36+Anschutz!B36</f>
        <v>97812753</v>
      </c>
      <c r="C36" s="101">
        <f>Boulder!C36+UCCS!C36+Denver!C36+Anschutz!C36</f>
        <v>104424009</v>
      </c>
      <c r="D36" s="144">
        <f>Boulder!D36+UCCS!D36+Denver!D36+Anschutz!D36</f>
        <v>2216172</v>
      </c>
      <c r="E36" s="146">
        <f>Boulder!E36+UCCS!E36+Denver!E36+Anschutz!E36</f>
        <v>78196373</v>
      </c>
      <c r="F36" s="145">
        <f>Boulder!F36+UCCS!F36+Denver!F36+Anschutz!F36</f>
        <v>30383680.054400001</v>
      </c>
      <c r="G36" s="101">
        <f t="shared" si="0"/>
        <v>110796225.0544</v>
      </c>
      <c r="I36" s="193"/>
      <c r="J36" s="202"/>
      <c r="K36" s="193"/>
      <c r="L36" s="193"/>
      <c r="M36" s="193"/>
      <c r="N36" s="193"/>
      <c r="O36" s="204"/>
      <c r="P36" s="193"/>
      <c r="Q36" s="193"/>
    </row>
    <row r="37" spans="1:19" ht="17.25" customHeight="1" x14ac:dyDescent="0.2">
      <c r="A37" s="158" t="s">
        <v>39</v>
      </c>
      <c r="B37" s="101">
        <f>Boulder!B37+UCCS!B37+Denver!B37+Anschutz!B37</f>
        <v>192500376</v>
      </c>
      <c r="C37" s="101">
        <f>Boulder!C37+UCCS!C37+Denver!C37+Anschutz!C37</f>
        <v>207319040</v>
      </c>
      <c r="D37" s="144">
        <f>Boulder!D37+UCCS!D37+Denver!D37+Anschutz!D37</f>
        <v>194390374</v>
      </c>
      <c r="E37" s="146">
        <f>Boulder!E37+UCCS!E37+Denver!E37+Anschutz!E37</f>
        <v>11316148</v>
      </c>
      <c r="F37" s="145">
        <f>Boulder!F37+UCCS!F37+Denver!F37+Anschutz!F37</f>
        <v>4907217.6529999999</v>
      </c>
      <c r="G37" s="101">
        <f t="shared" si="0"/>
        <v>210613739.653</v>
      </c>
      <c r="I37" s="193"/>
      <c r="J37" s="202"/>
      <c r="K37" s="193"/>
      <c r="L37" s="193"/>
      <c r="M37" s="193"/>
      <c r="N37" s="193"/>
      <c r="O37" s="204"/>
      <c r="P37" s="193"/>
      <c r="Q37" s="193"/>
    </row>
    <row r="38" spans="1:19" ht="17.25" customHeight="1" x14ac:dyDescent="0.2">
      <c r="A38" s="158" t="s">
        <v>40</v>
      </c>
      <c r="B38" s="101">
        <f>Boulder!B38+UCCS!B38+Denver!B38+Anschutz!B38</f>
        <v>122718266</v>
      </c>
      <c r="C38" s="101">
        <f>Boulder!C38+UCCS!C38+Denver!C38+Anschutz!C38</f>
        <v>122170889</v>
      </c>
      <c r="D38" s="144">
        <f>Boulder!D38+UCCS!D38+Denver!D38+Anschutz!D38</f>
        <v>66558258</v>
      </c>
      <c r="E38" s="146">
        <f>Boulder!E38+UCCS!E38+Denver!E38+Anschutz!E38</f>
        <v>60799600</v>
      </c>
      <c r="F38" s="145">
        <f>Boulder!F38+UCCS!F38+Denver!F38+Anschutz!F38</f>
        <v>3443370.585</v>
      </c>
      <c r="G38" s="101">
        <f t="shared" si="0"/>
        <v>130801228.58499999</v>
      </c>
      <c r="I38" s="193"/>
      <c r="J38" s="202"/>
      <c r="K38" s="193"/>
      <c r="L38" s="193"/>
      <c r="M38" s="193"/>
      <c r="N38" s="193"/>
      <c r="O38" s="204"/>
      <c r="P38" s="193"/>
      <c r="Q38" s="193"/>
    </row>
    <row r="39" spans="1:19" ht="17.25" customHeight="1" x14ac:dyDescent="0.2">
      <c r="A39" s="158" t="s">
        <v>41</v>
      </c>
      <c r="B39" s="101">
        <f>Boulder!B39+UCCS!B39+Denver!B39+Anschutz!B39</f>
        <v>163960543</v>
      </c>
      <c r="C39" s="101">
        <f>Boulder!C39+UCCS!C39+Denver!C39+Anschutz!C39</f>
        <v>164486233</v>
      </c>
      <c r="D39" s="144">
        <f>Boulder!D39+UCCS!D39+Denver!D39+Anschutz!D39</f>
        <v>145185810</v>
      </c>
      <c r="E39" s="146">
        <f>Boulder!E39+UCCS!E39+Denver!E39+Anschutz!E39</f>
        <v>8506478</v>
      </c>
      <c r="F39" s="145">
        <f>Boulder!F39+UCCS!F39+Denver!F39+Anschutz!F39</f>
        <v>21833460.8376</v>
      </c>
      <c r="G39" s="101">
        <f t="shared" si="0"/>
        <v>175525748.83759999</v>
      </c>
      <c r="H39" s="195"/>
      <c r="I39" s="193"/>
      <c r="J39" s="202"/>
      <c r="K39" s="193"/>
      <c r="L39" s="193"/>
      <c r="M39" s="193"/>
      <c r="N39" s="193"/>
      <c r="O39" s="204"/>
      <c r="P39" s="193"/>
      <c r="Q39" s="193"/>
    </row>
    <row r="40" spans="1:19" ht="17.25" customHeight="1" x14ac:dyDescent="0.2">
      <c r="A40" s="158" t="s">
        <v>42</v>
      </c>
      <c r="B40" s="101">
        <f>Boulder!B40+UCCS!B40+Denver!B40+Anschutz!B40</f>
        <v>149336640</v>
      </c>
      <c r="C40" s="101">
        <f>Boulder!C40+UCCS!C40+Denver!C40+Anschutz!C40</f>
        <v>145272527</v>
      </c>
      <c r="D40" s="144">
        <f>Boulder!D40+UCCS!D40+Denver!D40+Anschutz!D40</f>
        <v>125032123</v>
      </c>
      <c r="E40" s="146">
        <f>Boulder!E40+UCCS!E40+Denver!E40+Anschutz!E40</f>
        <v>20105766</v>
      </c>
      <c r="F40" s="145">
        <f>Boulder!F40+UCCS!F40+Denver!F40+Anschutz!F40</f>
        <v>3123235.3026999999</v>
      </c>
      <c r="G40" s="101">
        <f t="shared" si="0"/>
        <v>148261124.30270001</v>
      </c>
      <c r="I40" s="193"/>
      <c r="J40" s="202"/>
      <c r="K40" s="193"/>
      <c r="L40" s="193"/>
      <c r="M40" s="193"/>
      <c r="N40" s="193"/>
      <c r="O40" s="204"/>
      <c r="P40" s="193"/>
      <c r="Q40" s="193"/>
    </row>
    <row r="41" spans="1:19" ht="17.25" customHeight="1" x14ac:dyDescent="0.2">
      <c r="A41" s="158" t="s">
        <v>43</v>
      </c>
      <c r="B41" s="101">
        <f>Boulder!B41+UCCS!B41+Denver!B41+Anschutz!B41</f>
        <v>209152003</v>
      </c>
      <c r="C41" s="101">
        <f>Boulder!C41+UCCS!C41+Denver!C41+Anschutz!C41</f>
        <v>207921908</v>
      </c>
      <c r="D41" s="144">
        <f>Boulder!D41+UCCS!D41+Denver!D41+Anschutz!D41</f>
        <v>84066129</v>
      </c>
      <c r="E41" s="146">
        <f>Boulder!E41+UCCS!E41+Denver!E41+Anschutz!E41</f>
        <v>12290121</v>
      </c>
      <c r="F41" s="145">
        <f>Boulder!F41+UCCS!F41+Denver!F41+Anschutz!F41</f>
        <v>123730210.3575</v>
      </c>
      <c r="G41" s="101">
        <f t="shared" si="0"/>
        <v>220086460.35750002</v>
      </c>
      <c r="I41" s="193"/>
      <c r="J41" s="202"/>
      <c r="K41" s="193"/>
      <c r="L41" s="193"/>
      <c r="M41" s="193"/>
      <c r="N41" s="193"/>
      <c r="O41" s="204"/>
      <c r="P41" s="193"/>
      <c r="Q41" s="193"/>
    </row>
    <row r="42" spans="1:19" ht="17.25" customHeight="1" x14ac:dyDescent="0.2">
      <c r="A42" s="102" t="s">
        <v>44</v>
      </c>
      <c r="B42" s="101">
        <f>Boulder!B42+UCCS!B42+Denver!B42+Anschutz!B42</f>
        <v>227996548</v>
      </c>
      <c r="C42" s="101">
        <f>Boulder!C42+UCCS!C42+Denver!C42+Anschutz!C42</f>
        <v>224771641</v>
      </c>
      <c r="D42" s="144">
        <f>Boulder!D42+UCCS!D42+Denver!D42+Anschutz!D42</f>
        <v>0</v>
      </c>
      <c r="E42" s="146">
        <f>Boulder!E42+UCCS!E42+Denver!E42+Anschutz!E42</f>
        <v>226943372</v>
      </c>
      <c r="F42" s="145">
        <f>Boulder!F42+UCCS!F42+Denver!F42+Anschutz!F42</f>
        <v>8047762.7549999999</v>
      </c>
      <c r="G42" s="101">
        <f t="shared" si="0"/>
        <v>234991134.755</v>
      </c>
      <c r="I42" s="193"/>
      <c r="J42" s="202"/>
      <c r="K42" s="193"/>
      <c r="L42" s="193"/>
      <c r="M42" s="193"/>
      <c r="N42" s="193"/>
      <c r="O42" s="193"/>
      <c r="P42" s="193"/>
      <c r="Q42" s="193"/>
    </row>
    <row r="43" spans="1:19" ht="17.25" customHeight="1" x14ac:dyDescent="0.2">
      <c r="A43" s="102" t="s">
        <v>28</v>
      </c>
      <c r="B43" s="101">
        <f>Boulder!B43+UCCS!B43+Denver!B43+Anschutz!B43</f>
        <v>692170626</v>
      </c>
      <c r="C43" s="101">
        <f>Boulder!C43+UCCS!C43+Denver!C43+Anschutz!C43</f>
        <v>682673013</v>
      </c>
      <c r="D43" s="144">
        <f>Boulder!D43+UCCS!D43+Denver!D43+Anschutz!D43</f>
        <v>14798693</v>
      </c>
      <c r="E43" s="146">
        <f>Boulder!E43+UCCS!E43+Denver!E43+Anschutz!E43</f>
        <v>797104186</v>
      </c>
      <c r="F43" s="145">
        <f>Boulder!F43+UCCS!F43+Denver!F43+Anschutz!F43</f>
        <v>248055</v>
      </c>
      <c r="G43" s="101">
        <f t="shared" si="0"/>
        <v>812150934</v>
      </c>
      <c r="I43" s="193"/>
      <c r="J43" s="202"/>
      <c r="K43" s="193"/>
      <c r="L43" s="193"/>
      <c r="M43" s="193"/>
      <c r="N43" s="193"/>
      <c r="O43" s="193"/>
      <c r="P43" s="193"/>
      <c r="Q43" s="193"/>
    </row>
    <row r="44" spans="1:19" ht="17.25" customHeight="1" thickBot="1" x14ac:dyDescent="0.25">
      <c r="A44" s="122" t="s">
        <v>45</v>
      </c>
      <c r="B44" s="101">
        <f>Boulder!B44+UCCS!B44+Denver!B44+Anschutz!B44</f>
        <v>0</v>
      </c>
      <c r="C44" s="101">
        <f>Boulder!C44+UCCS!C44+Denver!C44+Anschutz!C44</f>
        <v>0</v>
      </c>
      <c r="D44" s="144">
        <f>Boulder!D44+UCCS!D44+Denver!D44+Anschutz!D44</f>
        <v>0</v>
      </c>
      <c r="E44" s="147">
        <f>Boulder!E44+UCCS!E44+Denver!E44+Anschutz!E44</f>
        <v>0</v>
      </c>
      <c r="F44" s="145">
        <f>Boulder!F44+UCCS!F44+Denver!F44+Anschutz!F44</f>
        <v>0</v>
      </c>
      <c r="G44" s="161">
        <f t="shared" si="0"/>
        <v>0</v>
      </c>
      <c r="I44" s="193"/>
      <c r="J44" s="202"/>
      <c r="K44" s="193"/>
      <c r="L44" s="193"/>
      <c r="M44" s="193"/>
      <c r="N44" s="193"/>
      <c r="O44" s="193"/>
      <c r="P44" s="193"/>
      <c r="Q44" s="193"/>
    </row>
    <row r="45" spans="1:19" s="103" customFormat="1" ht="17.25" customHeight="1" thickTop="1" x14ac:dyDescent="0.25">
      <c r="A45" s="121" t="s">
        <v>46</v>
      </c>
      <c r="B45" s="120">
        <f>SUM(B34:B44)</f>
        <v>3372221889</v>
      </c>
      <c r="C45" s="104">
        <f t="shared" ref="C45:F45" si="6">SUM(C34:C44)</f>
        <v>3409781854</v>
      </c>
      <c r="D45" s="126">
        <f t="shared" si="6"/>
        <v>1300568477</v>
      </c>
      <c r="E45" s="105">
        <f t="shared" si="6"/>
        <v>1424211750</v>
      </c>
      <c r="F45" s="125">
        <f t="shared" si="6"/>
        <v>925797146.89999998</v>
      </c>
      <c r="G45" s="120">
        <f t="shared" si="0"/>
        <v>3650577373.9000001</v>
      </c>
      <c r="I45" s="193"/>
      <c r="J45" s="202"/>
      <c r="K45" s="201"/>
      <c r="L45" s="201"/>
      <c r="M45" s="201"/>
      <c r="N45" s="201"/>
      <c r="O45" s="201"/>
      <c r="P45" s="201"/>
      <c r="Q45" s="201"/>
    </row>
    <row r="46" spans="1:19" ht="17.25" customHeight="1" x14ac:dyDescent="0.2">
      <c r="A46" s="102"/>
      <c r="B46" s="101"/>
      <c r="C46" s="97"/>
      <c r="D46" s="112"/>
      <c r="E46" s="111"/>
      <c r="F46" s="111"/>
      <c r="G46" s="101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1:19" ht="17.25" customHeight="1" x14ac:dyDescent="0.25">
      <c r="A47" s="119" t="s">
        <v>47</v>
      </c>
      <c r="B47" s="118"/>
      <c r="C47" s="97"/>
      <c r="D47" s="112"/>
      <c r="E47" s="111"/>
      <c r="F47" s="111"/>
      <c r="G47" s="101"/>
      <c r="I47" s="207"/>
      <c r="J47" s="193"/>
      <c r="K47" s="193"/>
      <c r="L47" s="193"/>
      <c r="M47" s="193"/>
      <c r="N47" s="201"/>
      <c r="O47" s="193"/>
      <c r="P47" s="193"/>
      <c r="Q47" s="193"/>
    </row>
    <row r="48" spans="1:19" ht="17.25" customHeight="1" x14ac:dyDescent="0.25">
      <c r="A48" s="102" t="s">
        <v>48</v>
      </c>
      <c r="B48" s="101"/>
      <c r="C48" s="97"/>
      <c r="D48" s="112"/>
      <c r="E48" s="111"/>
      <c r="F48" s="111"/>
      <c r="G48" s="101"/>
      <c r="I48" s="200"/>
      <c r="N48" s="103"/>
    </row>
    <row r="49" spans="1:14" ht="17.25" customHeight="1" x14ac:dyDescent="0.25">
      <c r="A49" s="113" t="s">
        <v>49</v>
      </c>
      <c r="B49" s="101">
        <f>Boulder!B49+UCCS!B49+Denver!B49+Anschutz!B49</f>
        <v>111661732</v>
      </c>
      <c r="C49" s="101">
        <f>Boulder!C49+UCCS!C49+Denver!C49+Anschutz!C49</f>
        <v>111254622</v>
      </c>
      <c r="D49" s="144">
        <f>Boulder!D49+UCCS!D49+Denver!D49+Anschutz!D49</f>
        <v>14546344</v>
      </c>
      <c r="E49" s="146">
        <f>Boulder!E49+UCCS!E49+Denver!E49+Anschutz!E49</f>
        <v>111508430</v>
      </c>
      <c r="F49" s="145">
        <f>Boulder!F49+UCCS!F49+Denver!F49+Anschutz!F49</f>
        <v>0</v>
      </c>
      <c r="G49" s="101">
        <f t="shared" si="0"/>
        <v>126054774</v>
      </c>
      <c r="N49" s="103"/>
    </row>
    <row r="50" spans="1:14" ht="17.25" customHeight="1" x14ac:dyDescent="0.2">
      <c r="A50" s="113" t="s">
        <v>50</v>
      </c>
      <c r="B50" s="101">
        <f>Boulder!B50+UCCS!B50+Denver!B50+Anschutz!B50</f>
        <v>0</v>
      </c>
      <c r="C50" s="101">
        <f>Boulder!C50+UCCS!C50+Denver!C50+Anschutz!C50</f>
        <v>0</v>
      </c>
      <c r="D50" s="144">
        <f>Boulder!D50+UCCS!D50+Denver!D50+Anschutz!D50</f>
        <v>0</v>
      </c>
      <c r="E50" s="146">
        <f>Boulder!E50+UCCS!E50+Denver!E50+Anschutz!E50</f>
        <v>0</v>
      </c>
      <c r="F50" s="145">
        <f>Boulder!F50+UCCS!F50+Denver!F50+Anschutz!F50</f>
        <v>0</v>
      </c>
      <c r="G50" s="101">
        <f t="shared" si="0"/>
        <v>0</v>
      </c>
    </row>
    <row r="51" spans="1:14" ht="17.25" customHeight="1" x14ac:dyDescent="0.2">
      <c r="A51" s="110" t="s">
        <v>51</v>
      </c>
      <c r="B51" s="101">
        <f>Boulder!B51+UCCS!B51+Denver!B51+Anschutz!B51</f>
        <v>0</v>
      </c>
      <c r="C51" s="101">
        <f>Boulder!C51+UCCS!C51+Denver!C51+Anschutz!C51</f>
        <v>0</v>
      </c>
      <c r="D51" s="144">
        <f>Boulder!D51+UCCS!D51+Denver!D51+Anschutz!D51</f>
        <v>0</v>
      </c>
      <c r="E51" s="148">
        <f>Boulder!E51+UCCS!E51+Denver!E51+Anschutz!E51</f>
        <v>0</v>
      </c>
      <c r="F51" s="145">
        <f>Boulder!F51+UCCS!F51+Denver!F51+Anschutz!F51</f>
        <v>0</v>
      </c>
      <c r="G51" s="101">
        <f t="shared" si="0"/>
        <v>0</v>
      </c>
    </row>
    <row r="52" spans="1:14" ht="17.25" customHeight="1" x14ac:dyDescent="0.2">
      <c r="A52" s="117" t="s">
        <v>52</v>
      </c>
      <c r="B52" s="116">
        <f>SUM(B49:B51)</f>
        <v>111661732</v>
      </c>
      <c r="C52" s="114">
        <f t="shared" ref="C52:F52" si="7">SUM(C49:C51)</f>
        <v>111254622</v>
      </c>
      <c r="D52" s="115">
        <f t="shared" si="7"/>
        <v>14546344</v>
      </c>
      <c r="E52" s="109">
        <f t="shared" si="7"/>
        <v>111508430</v>
      </c>
      <c r="F52" s="141">
        <f t="shared" si="7"/>
        <v>0</v>
      </c>
      <c r="G52" s="116">
        <f t="shared" si="0"/>
        <v>126054774</v>
      </c>
    </row>
    <row r="53" spans="1:14" ht="17.25" customHeight="1" x14ac:dyDescent="0.2">
      <c r="A53" s="102"/>
      <c r="B53" s="101"/>
      <c r="C53" s="97"/>
      <c r="D53" s="112"/>
      <c r="E53" s="111"/>
      <c r="F53" s="111"/>
      <c r="G53" s="101"/>
    </row>
    <row r="54" spans="1:14" ht="17.25" customHeight="1" x14ac:dyDescent="0.2">
      <c r="A54" s="102" t="s">
        <v>53</v>
      </c>
      <c r="B54" s="101"/>
      <c r="C54" s="97"/>
      <c r="D54" s="112"/>
      <c r="E54" s="111"/>
      <c r="F54" s="111"/>
      <c r="G54" s="101"/>
    </row>
    <row r="55" spans="1:14" ht="30" customHeight="1" x14ac:dyDescent="0.2">
      <c r="A55" s="162" t="s">
        <v>54</v>
      </c>
      <c r="B55" s="101">
        <f>Boulder!B55+UCCS!B55+Denver!B55+Anschutz!B55</f>
        <v>0</v>
      </c>
      <c r="C55" s="101">
        <f>Boulder!C55+UCCS!C55+Denver!C55+Anschutz!C55</f>
        <v>0</v>
      </c>
      <c r="D55" s="144">
        <f>Boulder!D55+UCCS!D55+Denver!D55+Anschutz!D55</f>
        <v>0</v>
      </c>
      <c r="E55" s="146">
        <f>Boulder!E55+UCCS!E55+Denver!E55+Anschutz!E55</f>
        <v>0</v>
      </c>
      <c r="F55" s="145">
        <f>Boulder!F55+UCCS!F55+Denver!F55+Anschutz!F55</f>
        <v>0</v>
      </c>
      <c r="G55" s="101">
        <f t="shared" si="0"/>
        <v>0</v>
      </c>
    </row>
    <row r="56" spans="1:14" ht="17.25" customHeight="1" x14ac:dyDescent="0.2">
      <c r="A56" s="110" t="s">
        <v>45</v>
      </c>
      <c r="B56" s="101">
        <f>Boulder!B56+UCCS!B56+Denver!B56+Anschutz!B56</f>
        <v>82942427</v>
      </c>
      <c r="C56" s="101">
        <f>Boulder!C56+UCCS!C56+Denver!C56+Anschutz!C56</f>
        <v>93442885</v>
      </c>
      <c r="D56" s="149">
        <f>Boulder!D56+UCCS!D56+Denver!D56+Anschutz!D56</f>
        <v>46817684</v>
      </c>
      <c r="E56" s="148">
        <f>Boulder!E56+UCCS!E56+Denver!E56+Anschutz!E56</f>
        <v>7971513</v>
      </c>
      <c r="F56" s="150">
        <f>Boulder!F56+UCCS!F56+Denver!F56+Anschutz!F56</f>
        <v>-11743017</v>
      </c>
      <c r="G56" s="101">
        <f t="shared" si="0"/>
        <v>43046180</v>
      </c>
    </row>
    <row r="57" spans="1:14" ht="17.25" customHeight="1" thickBot="1" x14ac:dyDescent="0.25">
      <c r="A57" s="108" t="s">
        <v>56</v>
      </c>
      <c r="B57" s="107">
        <f>SUM(B55:B56)</f>
        <v>82942427</v>
      </c>
      <c r="C57" s="107">
        <f t="shared" ref="C57:F57" si="8">SUM(C55:C56)</f>
        <v>93442885</v>
      </c>
      <c r="D57" s="159">
        <f t="shared" si="8"/>
        <v>46817684</v>
      </c>
      <c r="E57" s="160">
        <f t="shared" si="8"/>
        <v>7971513</v>
      </c>
      <c r="F57" s="147">
        <f t="shared" si="8"/>
        <v>-11743017</v>
      </c>
      <c r="G57" s="107">
        <f t="shared" si="0"/>
        <v>43046180</v>
      </c>
    </row>
    <row r="58" spans="1:14" s="103" customFormat="1" ht="17.25" customHeight="1" thickTop="1" thickBot="1" x14ac:dyDescent="0.3">
      <c r="A58" s="196" t="s">
        <v>57</v>
      </c>
      <c r="B58" s="197">
        <f>B45+B52+B57</f>
        <v>3566826048</v>
      </c>
      <c r="C58" s="197">
        <f t="shared" ref="C58:F58" si="9">C45+C52+C57</f>
        <v>3614479361</v>
      </c>
      <c r="D58" s="198">
        <f t="shared" si="9"/>
        <v>1361932505</v>
      </c>
      <c r="E58" s="199">
        <f t="shared" si="9"/>
        <v>1543691693</v>
      </c>
      <c r="F58" s="199">
        <f t="shared" si="9"/>
        <v>914054129.89999998</v>
      </c>
      <c r="G58" s="197">
        <f t="shared" si="0"/>
        <v>3819678327.9000001</v>
      </c>
    </row>
    <row r="59" spans="1:14" ht="17.25" hidden="1" customHeight="1" x14ac:dyDescent="0.2">
      <c r="A59" s="102"/>
      <c r="B59" s="101"/>
      <c r="C59" s="97"/>
      <c r="D59" s="112"/>
      <c r="E59" s="111"/>
      <c r="F59" s="111"/>
      <c r="G59" s="101"/>
    </row>
    <row r="60" spans="1:14" ht="17.25" hidden="1" customHeight="1" thickBot="1" x14ac:dyDescent="0.25">
      <c r="A60" s="96" t="s">
        <v>58</v>
      </c>
      <c r="B60" s="95">
        <f>B30-B58</f>
        <v>0</v>
      </c>
      <c r="C60" s="95">
        <f t="shared" ref="C60:F60" si="10">C30-C58</f>
        <v>0</v>
      </c>
      <c r="D60" s="94">
        <f t="shared" si="10"/>
        <v>0</v>
      </c>
      <c r="E60" s="93">
        <f t="shared" si="10"/>
        <v>0</v>
      </c>
      <c r="F60" s="92">
        <f t="shared" si="10"/>
        <v>-0.46000003814697266</v>
      </c>
      <c r="G60" s="95">
        <f t="shared" si="0"/>
        <v>-0.46000003814697266</v>
      </c>
    </row>
    <row r="62" spans="1:14" x14ac:dyDescent="0.2">
      <c r="A62" s="90" t="s">
        <v>74</v>
      </c>
    </row>
    <row r="63" spans="1:14" x14ac:dyDescent="0.2">
      <c r="A63" s="85" t="s">
        <v>75</v>
      </c>
    </row>
    <row r="64" spans="1:14" x14ac:dyDescent="0.2">
      <c r="A64" s="90" t="s">
        <v>76</v>
      </c>
    </row>
    <row r="65" spans="1:1" x14ac:dyDescent="0.2">
      <c r="A65" s="208">
        <v>42530</v>
      </c>
    </row>
  </sheetData>
  <mergeCells count="3">
    <mergeCell ref="A5:A6"/>
    <mergeCell ref="B5:C5"/>
    <mergeCell ref="D5:G5"/>
  </mergeCells>
  <pageMargins left="0.75" right="0.75" top="1" bottom="0.5" header="0.3" footer="0.3"/>
  <pageSetup scale="57" orientation="portrait" r:id="rId1"/>
  <headerFooter>
    <oddFooter>&amp;C&amp;"Arial,Regular" 1-4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Normal="100" workbookViewId="0"/>
  </sheetViews>
  <sheetFormatPr defaultRowHeight="15" x14ac:dyDescent="0.2"/>
  <cols>
    <col min="1" max="1" width="51.7109375" style="85" customWidth="1"/>
    <col min="2" max="2" width="18.42578125" style="85" customWidth="1"/>
    <col min="3" max="3" width="18.140625" style="85" customWidth="1"/>
    <col min="4" max="6" width="15.7109375" style="86" customWidth="1"/>
    <col min="7" max="7" width="17.5703125" style="86" customWidth="1"/>
    <col min="8" max="8" width="9.140625" style="85"/>
    <col min="9" max="9" width="18.42578125" style="85" customWidth="1"/>
    <col min="10" max="11" width="16.140625" style="85" bestFit="1" customWidth="1"/>
    <col min="12" max="12" width="14.85546875" style="85" bestFit="1" customWidth="1"/>
    <col min="13" max="16384" width="9.140625" style="85"/>
  </cols>
  <sheetData>
    <row r="1" spans="1:10" ht="15.75" x14ac:dyDescent="0.25">
      <c r="A1" s="138" t="s">
        <v>77</v>
      </c>
      <c r="B1" s="138"/>
      <c r="C1" s="138"/>
      <c r="D1" s="138"/>
      <c r="E1" s="138"/>
      <c r="F1" s="138"/>
      <c r="G1" s="138"/>
    </row>
    <row r="2" spans="1:10" ht="15.75" x14ac:dyDescent="0.25">
      <c r="A2" s="138" t="s">
        <v>0</v>
      </c>
      <c r="B2" s="138"/>
      <c r="C2" s="138"/>
      <c r="D2" s="138"/>
      <c r="E2" s="138"/>
      <c r="F2" s="138"/>
      <c r="G2" s="138"/>
    </row>
    <row r="3" spans="1:10" x14ac:dyDescent="0.2">
      <c r="A3" s="137" t="s">
        <v>61</v>
      </c>
      <c r="B3" s="137"/>
      <c r="C3" s="137"/>
      <c r="D3" s="137"/>
      <c r="E3" s="137"/>
      <c r="F3" s="137"/>
      <c r="G3" s="137"/>
    </row>
    <row r="4" spans="1:10" ht="15.75" thickBot="1" x14ac:dyDescent="0.25">
      <c r="A4" s="135"/>
      <c r="B4" s="135"/>
      <c r="C4" s="135"/>
      <c r="D4" s="135"/>
      <c r="E4" s="135"/>
      <c r="F4" s="135"/>
      <c r="G4" s="135"/>
    </row>
    <row r="5" spans="1:10" ht="15.75" customHeight="1" thickBot="1" x14ac:dyDescent="0.3">
      <c r="A5" s="209" t="s">
        <v>2</v>
      </c>
      <c r="B5" s="211" t="s">
        <v>3</v>
      </c>
      <c r="C5" s="212"/>
      <c r="D5" s="213" t="s">
        <v>73</v>
      </c>
      <c r="E5" s="214"/>
      <c r="F5" s="214"/>
      <c r="G5" s="215"/>
    </row>
    <row r="6" spans="1:10" s="134" customFormat="1" ht="48" thickBot="1" x14ac:dyDescent="0.3">
      <c r="A6" s="210"/>
      <c r="B6" s="6" t="s">
        <v>4</v>
      </c>
      <c r="C6" s="6" t="s">
        <v>5</v>
      </c>
      <c r="D6" s="163" t="s">
        <v>6</v>
      </c>
      <c r="E6" s="164" t="s">
        <v>7</v>
      </c>
      <c r="F6" s="164" t="s">
        <v>8</v>
      </c>
      <c r="G6" s="165" t="s">
        <v>9</v>
      </c>
      <c r="J6" s="153"/>
    </row>
    <row r="7" spans="1:10" ht="15" customHeight="1" x14ac:dyDescent="0.25">
      <c r="A7" s="119" t="s">
        <v>10</v>
      </c>
      <c r="B7" s="139"/>
      <c r="C7" s="97"/>
      <c r="D7" s="112"/>
      <c r="E7" s="111"/>
      <c r="F7" s="111"/>
      <c r="G7" s="133"/>
    </row>
    <row r="8" spans="1:10" ht="15" customHeight="1" x14ac:dyDescent="0.2">
      <c r="A8" s="102" t="s">
        <v>11</v>
      </c>
      <c r="B8" s="140"/>
      <c r="C8" s="97"/>
      <c r="D8" s="112"/>
      <c r="E8" s="111"/>
      <c r="F8" s="111"/>
      <c r="G8" s="97"/>
    </row>
    <row r="9" spans="1:10" ht="15" customHeight="1" x14ac:dyDescent="0.2">
      <c r="A9" s="113" t="s">
        <v>12</v>
      </c>
      <c r="B9" s="10">
        <v>31859432</v>
      </c>
      <c r="C9" s="10">
        <v>31859432</v>
      </c>
      <c r="D9" s="11">
        <v>32188645</v>
      </c>
      <c r="E9" s="12">
        <v>0</v>
      </c>
      <c r="F9" s="12">
        <v>0</v>
      </c>
      <c r="G9" s="10">
        <f t="shared" ref="G9:G57" si="0">SUM(D9:F9)</f>
        <v>32188645</v>
      </c>
    </row>
    <row r="10" spans="1:10" ht="15" customHeight="1" x14ac:dyDescent="0.2">
      <c r="A10" s="113" t="s">
        <v>13</v>
      </c>
      <c r="B10" s="10">
        <v>197333873</v>
      </c>
      <c r="C10" s="10">
        <v>199041104</v>
      </c>
      <c r="D10" s="184">
        <v>208603610</v>
      </c>
      <c r="E10" s="12">
        <v>0</v>
      </c>
      <c r="F10" s="12">
        <v>0</v>
      </c>
      <c r="G10" s="10">
        <f t="shared" si="0"/>
        <v>208603610</v>
      </c>
    </row>
    <row r="11" spans="1:10" ht="15" customHeight="1" x14ac:dyDescent="0.2">
      <c r="A11" s="113" t="s">
        <v>14</v>
      </c>
      <c r="B11" s="10">
        <v>359311389</v>
      </c>
      <c r="C11" s="10">
        <v>368946125</v>
      </c>
      <c r="D11" s="184">
        <v>399258372</v>
      </c>
      <c r="E11" s="12">
        <v>0</v>
      </c>
      <c r="F11" s="12">
        <v>0</v>
      </c>
      <c r="G11" s="10">
        <f t="shared" si="0"/>
        <v>399258372</v>
      </c>
    </row>
    <row r="12" spans="1:10" ht="15" customHeight="1" x14ac:dyDescent="0.2">
      <c r="A12" s="113" t="s">
        <v>15</v>
      </c>
      <c r="B12" s="10">
        <v>30036498</v>
      </c>
      <c r="C12" s="10">
        <v>27292856</v>
      </c>
      <c r="D12" s="11">
        <v>0</v>
      </c>
      <c r="E12" s="12">
        <v>28111642</v>
      </c>
      <c r="F12" s="12">
        <v>0</v>
      </c>
      <c r="G12" s="10">
        <f t="shared" si="0"/>
        <v>28111642</v>
      </c>
    </row>
    <row r="13" spans="1:10" ht="15" customHeight="1" x14ac:dyDescent="0.2">
      <c r="A13" s="110" t="s">
        <v>16</v>
      </c>
      <c r="B13" s="10">
        <v>58137509</v>
      </c>
      <c r="C13" s="10">
        <v>66234178</v>
      </c>
      <c r="D13" s="11">
        <v>18093748</v>
      </c>
      <c r="E13" s="12">
        <v>47452562</v>
      </c>
      <c r="F13" s="12">
        <v>0</v>
      </c>
      <c r="G13" s="10">
        <f t="shared" si="0"/>
        <v>65546310</v>
      </c>
    </row>
    <row r="14" spans="1:10" s="103" customFormat="1" ht="15" customHeight="1" x14ac:dyDescent="0.25">
      <c r="A14" s="132" t="s">
        <v>17</v>
      </c>
      <c r="B14" s="20">
        <f>SUM(B9:B13)</f>
        <v>676678701</v>
      </c>
      <c r="C14" s="20">
        <f t="shared" ref="C14:F14" si="1">SUM(C9:C13)</f>
        <v>693373695</v>
      </c>
      <c r="D14" s="21">
        <f t="shared" si="1"/>
        <v>658144375</v>
      </c>
      <c r="E14" s="22">
        <f t="shared" si="1"/>
        <v>75564204</v>
      </c>
      <c r="F14" s="22">
        <f t="shared" si="1"/>
        <v>0</v>
      </c>
      <c r="G14" s="39">
        <f t="shared" si="0"/>
        <v>733708579</v>
      </c>
    </row>
    <row r="15" spans="1:10" ht="15" customHeight="1" x14ac:dyDescent="0.2">
      <c r="A15" s="102" t="s">
        <v>18</v>
      </c>
      <c r="B15" s="10">
        <v>3520675</v>
      </c>
      <c r="C15" s="10">
        <v>3228922</v>
      </c>
      <c r="D15" s="184">
        <v>0</v>
      </c>
      <c r="E15" s="169">
        <v>0</v>
      </c>
      <c r="F15" s="169">
        <v>3325790</v>
      </c>
      <c r="G15" s="24">
        <f t="shared" si="0"/>
        <v>3325790</v>
      </c>
    </row>
    <row r="16" spans="1:10" ht="15" customHeight="1" x14ac:dyDescent="0.2">
      <c r="A16" s="102" t="s">
        <v>19</v>
      </c>
      <c r="B16" s="10"/>
      <c r="C16" s="10"/>
      <c r="D16" s="184"/>
      <c r="E16" s="169"/>
      <c r="F16" s="169"/>
      <c r="G16" s="24"/>
    </row>
    <row r="17" spans="1:10" ht="15" customHeight="1" x14ac:dyDescent="0.2">
      <c r="A17" s="113" t="s">
        <v>20</v>
      </c>
      <c r="B17" s="10">
        <v>293867162</v>
      </c>
      <c r="C17" s="10">
        <v>305457136</v>
      </c>
      <c r="D17" s="184">
        <v>0</v>
      </c>
      <c r="E17" s="169">
        <v>0</v>
      </c>
      <c r="F17" s="169">
        <v>318961972</v>
      </c>
      <c r="G17" s="24">
        <f t="shared" si="0"/>
        <v>318961972</v>
      </c>
    </row>
    <row r="18" spans="1:10" ht="15" customHeight="1" x14ac:dyDescent="0.2">
      <c r="A18" s="113" t="s">
        <v>21</v>
      </c>
      <c r="B18" s="10">
        <v>11644618</v>
      </c>
      <c r="C18" s="10">
        <v>11903687</v>
      </c>
      <c r="D18" s="184">
        <v>0</v>
      </c>
      <c r="E18" s="169">
        <v>0</v>
      </c>
      <c r="F18" s="169">
        <v>12018741</v>
      </c>
      <c r="G18" s="24">
        <f t="shared" si="0"/>
        <v>12018741</v>
      </c>
    </row>
    <row r="19" spans="1:10" ht="15" customHeight="1" x14ac:dyDescent="0.2">
      <c r="A19" s="113" t="s">
        <v>22</v>
      </c>
      <c r="B19" s="10">
        <v>0</v>
      </c>
      <c r="C19" s="10">
        <v>0</v>
      </c>
      <c r="D19" s="184">
        <v>0</v>
      </c>
      <c r="E19" s="169">
        <v>0</v>
      </c>
      <c r="F19" s="169">
        <v>0</v>
      </c>
      <c r="G19" s="24">
        <f t="shared" si="0"/>
        <v>0</v>
      </c>
    </row>
    <row r="20" spans="1:10" ht="15" customHeight="1" x14ac:dyDescent="0.2">
      <c r="A20" s="110" t="s">
        <v>23</v>
      </c>
      <c r="B20" s="10">
        <v>37859149</v>
      </c>
      <c r="C20" s="10">
        <v>36495109</v>
      </c>
      <c r="D20" s="184">
        <v>37204097</v>
      </c>
      <c r="E20" s="169">
        <v>0</v>
      </c>
      <c r="F20" s="169">
        <v>0</v>
      </c>
      <c r="G20" s="24">
        <f t="shared" si="0"/>
        <v>37204097</v>
      </c>
    </row>
    <row r="21" spans="1:10" s="103" customFormat="1" ht="15" customHeight="1" x14ac:dyDescent="0.25">
      <c r="A21" s="132" t="s">
        <v>24</v>
      </c>
      <c r="B21" s="20">
        <f>SUM(B15:B20)</f>
        <v>346891604</v>
      </c>
      <c r="C21" s="20">
        <f t="shared" ref="C21:F21" si="2">SUM(C15:C20)</f>
        <v>357084854</v>
      </c>
      <c r="D21" s="185">
        <f t="shared" si="2"/>
        <v>37204097</v>
      </c>
      <c r="E21" s="186">
        <f t="shared" si="2"/>
        <v>0</v>
      </c>
      <c r="F21" s="186">
        <f t="shared" si="2"/>
        <v>334306503</v>
      </c>
      <c r="G21" s="187">
        <f t="shared" si="0"/>
        <v>371510600</v>
      </c>
    </row>
    <row r="22" spans="1:10" ht="15" customHeight="1" x14ac:dyDescent="0.2">
      <c r="A22" s="102" t="s">
        <v>25</v>
      </c>
      <c r="B22" s="10">
        <v>110681049</v>
      </c>
      <c r="C22" s="10">
        <v>95185120</v>
      </c>
      <c r="D22" s="184">
        <v>0</v>
      </c>
      <c r="E22" s="169">
        <v>0</v>
      </c>
      <c r="F22" s="169">
        <v>103506865</v>
      </c>
      <c r="G22" s="24">
        <f t="shared" si="0"/>
        <v>103506865</v>
      </c>
    </row>
    <row r="23" spans="1:10" ht="15" customHeight="1" x14ac:dyDescent="0.2">
      <c r="A23" s="102" t="s">
        <v>26</v>
      </c>
      <c r="B23" s="10">
        <v>36203171</v>
      </c>
      <c r="C23" s="10">
        <v>29263413</v>
      </c>
      <c r="D23" s="184">
        <v>0</v>
      </c>
      <c r="E23" s="169">
        <v>31438864</v>
      </c>
      <c r="F23" s="169">
        <v>0</v>
      </c>
      <c r="G23" s="24">
        <f t="shared" si="0"/>
        <v>31438864</v>
      </c>
    </row>
    <row r="24" spans="1:10" ht="15" customHeight="1" x14ac:dyDescent="0.2">
      <c r="A24" s="102" t="s">
        <v>27</v>
      </c>
      <c r="B24" s="10">
        <v>206667637</v>
      </c>
      <c r="C24" s="10">
        <v>218623685</v>
      </c>
      <c r="D24" s="184">
        <v>0</v>
      </c>
      <c r="E24" s="169">
        <v>232619233</v>
      </c>
      <c r="F24" s="169">
        <v>0</v>
      </c>
      <c r="G24" s="24">
        <f t="shared" si="0"/>
        <v>232619233</v>
      </c>
    </row>
    <row r="25" spans="1:10" ht="15" customHeight="1" x14ac:dyDescent="0.2">
      <c r="A25" s="102" t="s">
        <v>28</v>
      </c>
      <c r="B25" s="10">
        <v>0</v>
      </c>
      <c r="C25" s="10">
        <v>0</v>
      </c>
      <c r="D25" s="184">
        <v>0</v>
      </c>
      <c r="E25" s="169">
        <v>0</v>
      </c>
      <c r="F25" s="169">
        <v>0</v>
      </c>
      <c r="G25" s="24">
        <f t="shared" si="0"/>
        <v>0</v>
      </c>
    </row>
    <row r="26" spans="1:10" ht="15" customHeight="1" x14ac:dyDescent="0.2">
      <c r="A26" s="102" t="s">
        <v>29</v>
      </c>
      <c r="B26" s="10"/>
      <c r="C26" s="10"/>
      <c r="D26" s="184"/>
      <c r="E26" s="169"/>
      <c r="F26" s="169"/>
      <c r="G26" s="24"/>
    </row>
    <row r="27" spans="1:10" ht="15" customHeight="1" x14ac:dyDescent="0.2">
      <c r="A27" s="113" t="s">
        <v>30</v>
      </c>
      <c r="B27" s="10">
        <v>89263648</v>
      </c>
      <c r="C27" s="10">
        <v>92483790</v>
      </c>
      <c r="D27" s="184">
        <v>66357288</v>
      </c>
      <c r="E27" s="169">
        <v>28420842</v>
      </c>
      <c r="F27" s="169">
        <v>0</v>
      </c>
      <c r="G27" s="24">
        <f t="shared" si="0"/>
        <v>94778130</v>
      </c>
    </row>
    <row r="28" spans="1:10" ht="15" customHeight="1" x14ac:dyDescent="0.2">
      <c r="A28" s="113" t="s">
        <v>31</v>
      </c>
      <c r="B28" s="10">
        <v>0</v>
      </c>
      <c r="C28" s="10">
        <v>0</v>
      </c>
      <c r="D28" s="184">
        <v>0</v>
      </c>
      <c r="E28" s="169">
        <v>0</v>
      </c>
      <c r="F28" s="169">
        <v>0</v>
      </c>
      <c r="G28" s="24">
        <f t="shared" si="0"/>
        <v>0</v>
      </c>
    </row>
    <row r="29" spans="1:10" ht="15" customHeight="1" thickBot="1" x14ac:dyDescent="0.25">
      <c r="A29" s="127" t="s">
        <v>32</v>
      </c>
      <c r="B29" s="10">
        <v>15734392</v>
      </c>
      <c r="C29" s="10">
        <v>16729356</v>
      </c>
      <c r="D29" s="184">
        <v>4451199</v>
      </c>
      <c r="E29" s="188">
        <v>12539160</v>
      </c>
      <c r="F29" s="169">
        <v>0</v>
      </c>
      <c r="G29" s="24">
        <f t="shared" si="0"/>
        <v>16990359</v>
      </c>
    </row>
    <row r="30" spans="1:10" s="103" customFormat="1" ht="15" customHeight="1" thickTop="1" x14ac:dyDescent="0.25">
      <c r="A30" s="121" t="s">
        <v>33</v>
      </c>
      <c r="B30" s="30">
        <f>B14+B21+SUM(B22:B29)</f>
        <v>1482120202</v>
      </c>
      <c r="C30" s="30">
        <f t="shared" ref="C30:F30" si="3">C14+C21+SUM(C22:C29)</f>
        <v>1502743913</v>
      </c>
      <c r="D30" s="189">
        <f t="shared" si="3"/>
        <v>766156959</v>
      </c>
      <c r="E30" s="190">
        <f t="shared" si="3"/>
        <v>380582303</v>
      </c>
      <c r="F30" s="191">
        <f t="shared" si="3"/>
        <v>437813368</v>
      </c>
      <c r="G30" s="192">
        <f t="shared" si="0"/>
        <v>1584552630</v>
      </c>
      <c r="J30" s="152"/>
    </row>
    <row r="31" spans="1:10" ht="15" customHeight="1" x14ac:dyDescent="0.2">
      <c r="A31" s="102"/>
      <c r="B31" s="10"/>
      <c r="C31" s="10"/>
      <c r="D31" s="184"/>
      <c r="E31" s="169"/>
      <c r="F31" s="169"/>
      <c r="G31" s="24"/>
    </row>
    <row r="32" spans="1:10" ht="15" customHeight="1" x14ac:dyDescent="0.25">
      <c r="A32" s="119" t="s">
        <v>34</v>
      </c>
      <c r="B32" s="10"/>
      <c r="C32" s="10"/>
      <c r="D32" s="184"/>
      <c r="E32" s="169"/>
      <c r="F32" s="169"/>
      <c r="G32" s="24"/>
    </row>
    <row r="33" spans="1:7" ht="15" customHeight="1" x14ac:dyDescent="0.2">
      <c r="A33" s="102" t="s">
        <v>35</v>
      </c>
      <c r="B33" s="10"/>
      <c r="C33" s="10"/>
      <c r="D33" s="184"/>
      <c r="E33" s="169"/>
      <c r="F33" s="169"/>
      <c r="G33" s="24"/>
    </row>
    <row r="34" spans="1:7" ht="15" customHeight="1" x14ac:dyDescent="0.2">
      <c r="A34" s="113" t="s">
        <v>36</v>
      </c>
      <c r="B34" s="10">
        <v>434390087</v>
      </c>
      <c r="C34" s="10">
        <v>437722711</v>
      </c>
      <c r="D34" s="184">
        <v>386531408</v>
      </c>
      <c r="E34" s="169">
        <v>38254787</v>
      </c>
      <c r="F34" s="169">
        <v>38719012.277000003</v>
      </c>
      <c r="G34" s="24">
        <f t="shared" si="0"/>
        <v>463505207.27700001</v>
      </c>
    </row>
    <row r="35" spans="1:7" ht="15" customHeight="1" x14ac:dyDescent="0.2">
      <c r="A35" s="113" t="s">
        <v>37</v>
      </c>
      <c r="B35" s="10">
        <v>307350512</v>
      </c>
      <c r="C35" s="10">
        <v>309231281</v>
      </c>
      <c r="D35" s="184">
        <v>5395398</v>
      </c>
      <c r="E35" s="169">
        <v>303609</v>
      </c>
      <c r="F35" s="169">
        <v>319538247.07780004</v>
      </c>
      <c r="G35" s="24">
        <f t="shared" si="0"/>
        <v>325237254.07780004</v>
      </c>
    </row>
    <row r="36" spans="1:7" ht="15" customHeight="1" x14ac:dyDescent="0.2">
      <c r="A36" s="113" t="s">
        <v>38</v>
      </c>
      <c r="B36" s="10">
        <v>5746666</v>
      </c>
      <c r="C36" s="10">
        <v>6890913</v>
      </c>
      <c r="D36" s="184">
        <v>1208557</v>
      </c>
      <c r="E36" s="169">
        <v>4250532</v>
      </c>
      <c r="F36" s="169">
        <v>1716856.0544</v>
      </c>
      <c r="G36" s="24">
        <f t="shared" si="0"/>
        <v>7175945.0543999998</v>
      </c>
    </row>
    <row r="37" spans="1:7" ht="15" customHeight="1" x14ac:dyDescent="0.2">
      <c r="A37" s="113" t="s">
        <v>39</v>
      </c>
      <c r="B37" s="10">
        <v>117737028</v>
      </c>
      <c r="C37" s="10">
        <v>118867545</v>
      </c>
      <c r="D37" s="184">
        <v>114028114</v>
      </c>
      <c r="E37" s="169">
        <v>9563697</v>
      </c>
      <c r="F37" s="169">
        <v>4828657.6529999999</v>
      </c>
      <c r="G37" s="24">
        <f t="shared" si="0"/>
        <v>128420468.653</v>
      </c>
    </row>
    <row r="38" spans="1:7" ht="15" customHeight="1" x14ac:dyDescent="0.2">
      <c r="A38" s="113" t="s">
        <v>40</v>
      </c>
      <c r="B38" s="10">
        <v>86510665</v>
      </c>
      <c r="C38" s="10">
        <v>88568297</v>
      </c>
      <c r="D38" s="184">
        <v>38677366</v>
      </c>
      <c r="E38" s="169">
        <v>51158187</v>
      </c>
      <c r="F38" s="169">
        <v>2682587.585</v>
      </c>
      <c r="G38" s="24">
        <f t="shared" si="0"/>
        <v>92518140.584999993</v>
      </c>
    </row>
    <row r="39" spans="1:7" ht="15" customHeight="1" x14ac:dyDescent="0.2">
      <c r="A39" s="113" t="s">
        <v>41</v>
      </c>
      <c r="B39" s="10">
        <v>84263333</v>
      </c>
      <c r="C39" s="10">
        <v>91211043</v>
      </c>
      <c r="D39" s="184">
        <v>75633066</v>
      </c>
      <c r="E39" s="169">
        <v>6983017</v>
      </c>
      <c r="F39" s="169">
        <v>12232599.387600001</v>
      </c>
      <c r="G39" s="24">
        <f t="shared" si="0"/>
        <v>94848682.387600005</v>
      </c>
    </row>
    <row r="40" spans="1:7" ht="15" customHeight="1" x14ac:dyDescent="0.2">
      <c r="A40" s="113" t="s">
        <v>42</v>
      </c>
      <c r="B40" s="10">
        <v>80643011</v>
      </c>
      <c r="C40" s="10">
        <v>81922732</v>
      </c>
      <c r="D40" s="184">
        <v>82535333</v>
      </c>
      <c r="E40" s="169">
        <v>0</v>
      </c>
      <c r="F40" s="169">
        <v>1663204.3026999999</v>
      </c>
      <c r="G40" s="24">
        <f t="shared" si="0"/>
        <v>84198537.302699998</v>
      </c>
    </row>
    <row r="41" spans="1:7" ht="15" customHeight="1" x14ac:dyDescent="0.2">
      <c r="A41" s="113" t="s">
        <v>43</v>
      </c>
      <c r="B41" s="10">
        <v>118656889</v>
      </c>
      <c r="C41" s="10">
        <v>118521982</v>
      </c>
      <c r="D41" s="184">
        <v>62147717</v>
      </c>
      <c r="E41" s="169">
        <v>11233549</v>
      </c>
      <c r="F41" s="169">
        <v>52310457.907499999</v>
      </c>
      <c r="G41" s="24">
        <f t="shared" si="0"/>
        <v>125691723.9075</v>
      </c>
    </row>
    <row r="42" spans="1:7" ht="15" customHeight="1" x14ac:dyDescent="0.2">
      <c r="A42" s="102" t="s">
        <v>44</v>
      </c>
      <c r="B42" s="10">
        <v>182617474</v>
      </c>
      <c r="C42" s="10">
        <v>185872830</v>
      </c>
      <c r="D42" s="11">
        <v>0</v>
      </c>
      <c r="E42" s="12">
        <v>181862043</v>
      </c>
      <c r="F42" s="12">
        <v>8047762.7549999999</v>
      </c>
      <c r="G42" s="10">
        <f t="shared" si="0"/>
        <v>189909805.755</v>
      </c>
    </row>
    <row r="43" spans="1:7" ht="15" customHeight="1" x14ac:dyDescent="0.2">
      <c r="A43" s="102" t="s">
        <v>28</v>
      </c>
      <c r="B43" s="10">
        <v>0</v>
      </c>
      <c r="C43" s="10">
        <v>0</v>
      </c>
      <c r="D43" s="11">
        <v>0</v>
      </c>
      <c r="E43" s="12">
        <v>0</v>
      </c>
      <c r="F43" s="12">
        <v>0</v>
      </c>
      <c r="G43" s="10">
        <f t="shared" si="0"/>
        <v>0</v>
      </c>
    </row>
    <row r="44" spans="1:7" ht="15" customHeight="1" thickBot="1" x14ac:dyDescent="0.25">
      <c r="A44" s="122" t="s">
        <v>45</v>
      </c>
      <c r="B44" s="10">
        <v>0</v>
      </c>
      <c r="C44" s="10">
        <v>0</v>
      </c>
      <c r="D44" s="11">
        <v>0</v>
      </c>
      <c r="E44" s="26">
        <v>0</v>
      </c>
      <c r="F44" s="12">
        <v>0</v>
      </c>
      <c r="G44" s="49">
        <f t="shared" si="0"/>
        <v>0</v>
      </c>
    </row>
    <row r="45" spans="1:7" s="103" customFormat="1" ht="15" customHeight="1" thickTop="1" x14ac:dyDescent="0.25">
      <c r="A45" s="121" t="s">
        <v>46</v>
      </c>
      <c r="B45" s="30">
        <f>SUM(B34:B44)</f>
        <v>1417915665</v>
      </c>
      <c r="C45" s="30">
        <f t="shared" ref="C45:F45" si="4">SUM(C34:C44)</f>
        <v>1438809334</v>
      </c>
      <c r="D45" s="31">
        <f t="shared" si="4"/>
        <v>766156959</v>
      </c>
      <c r="E45" s="32">
        <f t="shared" si="4"/>
        <v>303609421</v>
      </c>
      <c r="F45" s="33">
        <f t="shared" si="4"/>
        <v>441739385</v>
      </c>
      <c r="G45" s="173">
        <f t="shared" si="0"/>
        <v>1511505765</v>
      </c>
    </row>
    <row r="46" spans="1:7" ht="15" customHeight="1" x14ac:dyDescent="0.2">
      <c r="A46" s="102"/>
      <c r="B46" s="10"/>
      <c r="C46" s="10"/>
      <c r="D46" s="11"/>
      <c r="E46" s="12"/>
      <c r="F46" s="12"/>
      <c r="G46" s="10"/>
    </row>
    <row r="47" spans="1:7" ht="15" customHeight="1" x14ac:dyDescent="0.25">
      <c r="A47" s="119" t="s">
        <v>47</v>
      </c>
      <c r="B47" s="10"/>
      <c r="C47" s="10"/>
      <c r="D47" s="11"/>
      <c r="E47" s="12"/>
      <c r="F47" s="12"/>
      <c r="G47" s="10"/>
    </row>
    <row r="48" spans="1:7" ht="15" customHeight="1" x14ac:dyDescent="0.2">
      <c r="A48" s="102" t="s">
        <v>48</v>
      </c>
      <c r="B48" s="10"/>
      <c r="C48" s="10"/>
      <c r="D48" s="11"/>
      <c r="E48" s="12"/>
      <c r="F48" s="12"/>
      <c r="G48" s="10"/>
    </row>
    <row r="49" spans="1:7" ht="15" customHeight="1" x14ac:dyDescent="0.2">
      <c r="A49" s="113" t="s">
        <v>49</v>
      </c>
      <c r="B49" s="10">
        <v>60257990</v>
      </c>
      <c r="C49" s="10">
        <v>60857237</v>
      </c>
      <c r="D49" s="11">
        <v>0</v>
      </c>
      <c r="E49" s="12">
        <v>71698723</v>
      </c>
      <c r="F49" s="12">
        <v>0</v>
      </c>
      <c r="G49" s="10">
        <f t="shared" si="0"/>
        <v>71698723</v>
      </c>
    </row>
    <row r="50" spans="1:7" ht="15" customHeight="1" x14ac:dyDescent="0.2">
      <c r="A50" s="113" t="s">
        <v>50</v>
      </c>
      <c r="B50" s="10">
        <v>0</v>
      </c>
      <c r="C50" s="10">
        <v>0</v>
      </c>
      <c r="D50" s="11">
        <v>0</v>
      </c>
      <c r="E50" s="12">
        <v>0</v>
      </c>
      <c r="F50" s="12">
        <v>0</v>
      </c>
      <c r="G50" s="10">
        <f t="shared" si="0"/>
        <v>0</v>
      </c>
    </row>
    <row r="51" spans="1:7" ht="15" customHeight="1" x14ac:dyDescent="0.2">
      <c r="A51" s="110" t="s">
        <v>51</v>
      </c>
      <c r="B51" s="10">
        <v>0</v>
      </c>
      <c r="C51" s="10">
        <v>0</v>
      </c>
      <c r="D51" s="11">
        <v>0</v>
      </c>
      <c r="E51" s="36">
        <v>0</v>
      </c>
      <c r="F51" s="12">
        <v>0</v>
      </c>
      <c r="G51" s="10">
        <f t="shared" si="0"/>
        <v>0</v>
      </c>
    </row>
    <row r="52" spans="1:7" ht="15" customHeight="1" x14ac:dyDescent="0.2">
      <c r="A52" s="117" t="s">
        <v>52</v>
      </c>
      <c r="B52" s="39">
        <f>SUM(B49:B51)</f>
        <v>60257990</v>
      </c>
      <c r="C52" s="39">
        <f t="shared" ref="C52:F52" si="5">SUM(C49:C51)</f>
        <v>60857237</v>
      </c>
      <c r="D52" s="40">
        <f t="shared" si="5"/>
        <v>0</v>
      </c>
      <c r="E52" s="36">
        <f t="shared" si="5"/>
        <v>71698723</v>
      </c>
      <c r="F52" s="41">
        <f t="shared" si="5"/>
        <v>0</v>
      </c>
      <c r="G52" s="39">
        <f t="shared" si="0"/>
        <v>71698723</v>
      </c>
    </row>
    <row r="53" spans="1:7" ht="15" customHeight="1" x14ac:dyDescent="0.2">
      <c r="A53" s="102"/>
      <c r="B53" s="10"/>
      <c r="C53" s="10"/>
      <c r="D53" s="11"/>
      <c r="E53" s="12"/>
      <c r="F53" s="12"/>
      <c r="G53" s="10"/>
    </row>
    <row r="54" spans="1:7" ht="15" customHeight="1" x14ac:dyDescent="0.2">
      <c r="A54" s="102" t="s">
        <v>53</v>
      </c>
      <c r="B54" s="10"/>
      <c r="C54" s="10"/>
      <c r="D54" s="11"/>
      <c r="E54" s="12"/>
      <c r="F54" s="12"/>
      <c r="G54" s="10"/>
    </row>
    <row r="55" spans="1:7" ht="15" customHeight="1" x14ac:dyDescent="0.2">
      <c r="A55" s="113" t="s">
        <v>54</v>
      </c>
      <c r="B55" s="10">
        <v>0</v>
      </c>
      <c r="C55" s="10">
        <v>0</v>
      </c>
      <c r="D55" s="11">
        <v>0</v>
      </c>
      <c r="E55" s="12">
        <v>0</v>
      </c>
      <c r="F55" s="12">
        <v>0</v>
      </c>
      <c r="G55" s="10">
        <f t="shared" si="0"/>
        <v>0</v>
      </c>
    </row>
    <row r="56" spans="1:7" ht="15" customHeight="1" x14ac:dyDescent="0.2">
      <c r="A56" s="110" t="s">
        <v>45</v>
      </c>
      <c r="B56" s="43">
        <v>3946547</v>
      </c>
      <c r="C56" s="43">
        <v>3077342</v>
      </c>
      <c r="D56" s="44"/>
      <c r="E56" s="36">
        <v>5274159</v>
      </c>
      <c r="F56" s="36">
        <v>-3926017</v>
      </c>
      <c r="G56" s="10">
        <f t="shared" si="0"/>
        <v>1348142</v>
      </c>
    </row>
    <row r="57" spans="1:7" ht="15" customHeight="1" thickBot="1" x14ac:dyDescent="0.25">
      <c r="A57" s="108" t="s">
        <v>56</v>
      </c>
      <c r="B57" s="47">
        <f>SUM(B55:B56)</f>
        <v>3946547</v>
      </c>
      <c r="C57" s="47">
        <f t="shared" ref="C57:F57" si="6">SUM(C55:C56)</f>
        <v>3077342</v>
      </c>
      <c r="D57" s="48">
        <f t="shared" si="6"/>
        <v>0</v>
      </c>
      <c r="E57" s="26">
        <f t="shared" si="6"/>
        <v>5274159</v>
      </c>
      <c r="F57" s="26">
        <f t="shared" si="6"/>
        <v>-3926017</v>
      </c>
      <c r="G57" s="47">
        <f t="shared" si="0"/>
        <v>1348142</v>
      </c>
    </row>
    <row r="58" spans="1:7" s="103" customFormat="1" ht="15" customHeight="1" thickTop="1" x14ac:dyDescent="0.25">
      <c r="A58" s="106" t="s">
        <v>57</v>
      </c>
      <c r="B58" s="177">
        <f>B45+B52+B56</f>
        <v>1482120202</v>
      </c>
      <c r="C58" s="177">
        <f t="shared" ref="C58:F58" si="7">C45+C52+C56</f>
        <v>1502743913</v>
      </c>
      <c r="D58" s="177">
        <f t="shared" si="7"/>
        <v>766156959</v>
      </c>
      <c r="E58" s="177">
        <f t="shared" si="7"/>
        <v>380582303</v>
      </c>
      <c r="F58" s="177">
        <f t="shared" si="7"/>
        <v>437813368</v>
      </c>
      <c r="G58" s="177">
        <f>SUM(D58:F58)</f>
        <v>1584552630</v>
      </c>
    </row>
    <row r="59" spans="1:7" ht="15" customHeight="1" x14ac:dyDescent="0.2">
      <c r="A59" s="102"/>
      <c r="B59" s="10"/>
      <c r="C59" s="10"/>
      <c r="D59" s="11"/>
      <c r="E59" s="12"/>
      <c r="F59" s="12"/>
      <c r="G59" s="10"/>
    </row>
    <row r="60" spans="1:7" ht="15" customHeight="1" thickBot="1" x14ac:dyDescent="0.25">
      <c r="A60" s="96" t="s">
        <v>58</v>
      </c>
      <c r="B60" s="55">
        <f>B30-B58</f>
        <v>0</v>
      </c>
      <c r="C60" s="55">
        <f>C30-C58</f>
        <v>0</v>
      </c>
      <c r="D60" s="56">
        <f>D30-D58</f>
        <v>0</v>
      </c>
      <c r="E60" s="57">
        <f>E30-E58</f>
        <v>0</v>
      </c>
      <c r="F60" s="57">
        <f>F30-F58</f>
        <v>0</v>
      </c>
      <c r="G60" s="151">
        <f>SUM(D60:F60)</f>
        <v>0</v>
      </c>
    </row>
    <row r="62" spans="1:7" x14ac:dyDescent="0.2">
      <c r="A62" s="142" t="s">
        <v>62</v>
      </c>
      <c r="B62" s="90"/>
      <c r="C62" s="90"/>
    </row>
    <row r="63" spans="1:7" x14ac:dyDescent="0.2">
      <c r="A63" s="143" t="s">
        <v>63</v>
      </c>
      <c r="B63" s="88"/>
      <c r="C63" s="88"/>
    </row>
    <row r="64" spans="1:7" x14ac:dyDescent="0.2">
      <c r="A64" s="87" t="s">
        <v>64</v>
      </c>
      <c r="B64" s="87"/>
      <c r="C64" s="87"/>
    </row>
    <row r="65" spans="1:7" x14ac:dyDescent="0.2">
      <c r="A65" s="87" t="s">
        <v>65</v>
      </c>
      <c r="B65" s="87"/>
      <c r="C65" s="87"/>
      <c r="D65" s="85"/>
      <c r="E65" s="85"/>
      <c r="F65" s="85"/>
      <c r="G65" s="85"/>
    </row>
    <row r="66" spans="1:7" x14ac:dyDescent="0.2">
      <c r="A66" s="87" t="s">
        <v>66</v>
      </c>
      <c r="B66" s="87"/>
      <c r="C66" s="87"/>
      <c r="D66" s="85"/>
      <c r="E66" s="85"/>
      <c r="F66" s="85"/>
      <c r="G66" s="85"/>
    </row>
    <row r="67" spans="1:7" x14ac:dyDescent="0.2">
      <c r="A67" s="87" t="s">
        <v>67</v>
      </c>
      <c r="B67" s="87"/>
      <c r="C67" s="87"/>
      <c r="D67" s="85"/>
      <c r="E67" s="85"/>
      <c r="F67" s="85"/>
      <c r="G67" s="85"/>
    </row>
    <row r="68" spans="1:7" x14ac:dyDescent="0.2">
      <c r="A68" s="87" t="s">
        <v>68</v>
      </c>
      <c r="B68" s="87"/>
      <c r="C68" s="87"/>
      <c r="D68" s="85"/>
      <c r="E68" s="85"/>
      <c r="F68" s="85"/>
      <c r="G68" s="85"/>
    </row>
    <row r="69" spans="1:7" x14ac:dyDescent="0.2">
      <c r="A69" s="87" t="s">
        <v>69</v>
      </c>
    </row>
    <row r="70" spans="1:7" x14ac:dyDescent="0.2">
      <c r="A70" s="143" t="s">
        <v>70</v>
      </c>
    </row>
    <row r="71" spans="1:7" x14ac:dyDescent="0.2">
      <c r="A71" s="87" t="s">
        <v>71</v>
      </c>
    </row>
    <row r="72" spans="1:7" x14ac:dyDescent="0.2">
      <c r="A72" s="90" t="s">
        <v>76</v>
      </c>
    </row>
    <row r="73" spans="1:7" x14ac:dyDescent="0.2">
      <c r="A73" s="208">
        <v>42530</v>
      </c>
    </row>
  </sheetData>
  <mergeCells count="3">
    <mergeCell ref="A5:A6"/>
    <mergeCell ref="B5:C5"/>
    <mergeCell ref="D5:G5"/>
  </mergeCells>
  <printOptions horizontalCentered="1"/>
  <pageMargins left="0.7" right="0.7" top="0.75" bottom="0.75" header="0.3" footer="0.3"/>
  <pageSetup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zoomScaleNormal="100" workbookViewId="0"/>
  </sheetViews>
  <sheetFormatPr defaultRowHeight="15" x14ac:dyDescent="0.2"/>
  <cols>
    <col min="1" max="1" width="51.7109375" style="85" customWidth="1"/>
    <col min="2" max="2" width="16.7109375" style="85" customWidth="1"/>
    <col min="3" max="3" width="15.7109375" style="85" customWidth="1"/>
    <col min="4" max="7" width="15.7109375" style="86" customWidth="1"/>
    <col min="8" max="8" width="9.140625" style="85"/>
    <col min="9" max="9" width="16.140625" style="85" bestFit="1" customWidth="1"/>
    <col min="10" max="16384" width="9.140625" style="85"/>
  </cols>
  <sheetData>
    <row r="1" spans="1:7" ht="15.75" x14ac:dyDescent="0.25">
      <c r="A1" s="138" t="s">
        <v>77</v>
      </c>
      <c r="B1" s="138"/>
      <c r="C1" s="138"/>
      <c r="D1" s="138"/>
      <c r="E1" s="138"/>
      <c r="F1" s="138"/>
      <c r="G1" s="138"/>
    </row>
    <row r="2" spans="1:7" ht="15.75" x14ac:dyDescent="0.25">
      <c r="A2" s="138" t="s">
        <v>0</v>
      </c>
      <c r="B2" s="138"/>
      <c r="C2" s="138"/>
      <c r="D2" s="138"/>
      <c r="E2" s="138"/>
      <c r="F2" s="138"/>
      <c r="G2" s="138"/>
    </row>
    <row r="3" spans="1:7" x14ac:dyDescent="0.2">
      <c r="A3" s="137" t="s">
        <v>60</v>
      </c>
      <c r="B3" s="137"/>
      <c r="C3" s="137"/>
      <c r="D3" s="137"/>
      <c r="E3" s="137"/>
      <c r="F3" s="137"/>
      <c r="G3" s="137"/>
    </row>
    <row r="4" spans="1:7" ht="15.75" thickBot="1" x14ac:dyDescent="0.25">
      <c r="A4" s="135"/>
      <c r="B4" s="136"/>
      <c r="C4" s="136"/>
      <c r="D4" s="136"/>
      <c r="E4" s="136"/>
      <c r="F4" s="135"/>
      <c r="G4" s="135"/>
    </row>
    <row r="5" spans="1:7" ht="15.75" customHeight="1" thickBot="1" x14ac:dyDescent="0.3">
      <c r="A5" s="209" t="s">
        <v>2</v>
      </c>
      <c r="B5" s="211" t="s">
        <v>3</v>
      </c>
      <c r="C5" s="212"/>
      <c r="D5" s="213" t="s">
        <v>73</v>
      </c>
      <c r="E5" s="214"/>
      <c r="F5" s="214"/>
      <c r="G5" s="215"/>
    </row>
    <row r="6" spans="1:7" s="134" customFormat="1" ht="63.75" thickBot="1" x14ac:dyDescent="0.3">
      <c r="A6" s="210"/>
      <c r="B6" s="6" t="s">
        <v>4</v>
      </c>
      <c r="C6" s="6" t="s">
        <v>5</v>
      </c>
      <c r="D6" s="163" t="s">
        <v>6</v>
      </c>
      <c r="E6" s="164" t="s">
        <v>7</v>
      </c>
      <c r="F6" s="164" t="s">
        <v>8</v>
      </c>
      <c r="G6" s="165" t="s">
        <v>9</v>
      </c>
    </row>
    <row r="7" spans="1:7" ht="15" customHeight="1" x14ac:dyDescent="0.25">
      <c r="A7" s="119" t="s">
        <v>10</v>
      </c>
      <c r="B7" s="118"/>
      <c r="C7" s="97"/>
      <c r="D7" s="112"/>
      <c r="E7" s="111"/>
      <c r="F7" s="111"/>
      <c r="G7" s="133"/>
    </row>
    <row r="8" spans="1:7" ht="15" customHeight="1" x14ac:dyDescent="0.2">
      <c r="A8" s="102" t="s">
        <v>11</v>
      </c>
      <c r="B8" s="101"/>
      <c r="C8" s="97"/>
      <c r="D8" s="112"/>
      <c r="E8" s="111"/>
      <c r="F8" s="111"/>
      <c r="G8" s="97"/>
    </row>
    <row r="9" spans="1:7" ht="15" customHeight="1" x14ac:dyDescent="0.2">
      <c r="A9" s="113" t="s">
        <v>12</v>
      </c>
      <c r="B9" s="15">
        <v>14390826</v>
      </c>
      <c r="C9" s="10">
        <v>15212675</v>
      </c>
      <c r="D9" s="11">
        <v>15002809</v>
      </c>
      <c r="E9" s="12">
        <v>0</v>
      </c>
      <c r="F9" s="12">
        <v>0</v>
      </c>
      <c r="G9" s="10">
        <f t="shared" ref="G9:G58" si="0">SUM(D9:F9)</f>
        <v>15002809</v>
      </c>
    </row>
    <row r="10" spans="1:7" ht="15" customHeight="1" x14ac:dyDescent="0.2">
      <c r="A10" s="113" t="s">
        <v>13</v>
      </c>
      <c r="B10" s="15">
        <v>74881248</v>
      </c>
      <c r="C10" s="10">
        <v>76795591</v>
      </c>
      <c r="D10" s="11">
        <v>81014710</v>
      </c>
      <c r="E10" s="12">
        <v>0</v>
      </c>
      <c r="F10" s="12">
        <v>0</v>
      </c>
      <c r="G10" s="10">
        <f t="shared" si="0"/>
        <v>81014710</v>
      </c>
    </row>
    <row r="11" spans="1:7" ht="15" customHeight="1" x14ac:dyDescent="0.2">
      <c r="A11" s="113" t="s">
        <v>14</v>
      </c>
      <c r="B11" s="15">
        <v>27222126</v>
      </c>
      <c r="C11" s="10">
        <v>22667179</v>
      </c>
      <c r="D11" s="11">
        <f>18229919+7151604</f>
        <v>25381523</v>
      </c>
      <c r="E11" s="12">
        <v>0</v>
      </c>
      <c r="F11" s="12">
        <v>0</v>
      </c>
      <c r="G11" s="10">
        <f t="shared" si="0"/>
        <v>25381523</v>
      </c>
    </row>
    <row r="12" spans="1:7" ht="15" customHeight="1" x14ac:dyDescent="0.2">
      <c r="A12" s="113" t="s">
        <v>15</v>
      </c>
      <c r="B12" s="15">
        <v>3967676</v>
      </c>
      <c r="C12" s="10">
        <v>3603181</v>
      </c>
      <c r="D12" s="11">
        <v>0</v>
      </c>
      <c r="E12" s="12">
        <v>2386344</v>
      </c>
      <c r="F12" s="12">
        <v>0</v>
      </c>
      <c r="G12" s="10">
        <f t="shared" si="0"/>
        <v>2386344</v>
      </c>
    </row>
    <row r="13" spans="1:7" ht="15" customHeight="1" x14ac:dyDescent="0.2">
      <c r="A13" s="110" t="s">
        <v>16</v>
      </c>
      <c r="B13" s="15">
        <v>18752496</v>
      </c>
      <c r="C13" s="10">
        <f>5159671+13715746</f>
        <v>18875417</v>
      </c>
      <c r="D13" s="11">
        <v>5273184</v>
      </c>
      <c r="E13" s="169">
        <v>13062918</v>
      </c>
      <c r="F13" s="12">
        <v>0</v>
      </c>
      <c r="G13" s="10">
        <f t="shared" si="0"/>
        <v>18336102</v>
      </c>
    </row>
    <row r="14" spans="1:7" s="103" customFormat="1" ht="15" customHeight="1" x14ac:dyDescent="0.25">
      <c r="A14" s="132" t="s">
        <v>17</v>
      </c>
      <c r="B14" s="19">
        <f>SUM(B9:B13)</f>
        <v>139214372</v>
      </c>
      <c r="C14" s="20">
        <f>SUM(C9:C13)</f>
        <v>137154043</v>
      </c>
      <c r="D14" s="21">
        <f>SUM(D9:D13)</f>
        <v>126672226</v>
      </c>
      <c r="E14" s="22">
        <f>SUM(E9:E13)</f>
        <v>15449262</v>
      </c>
      <c r="F14" s="22">
        <f>SUM(F9:F13)</f>
        <v>0</v>
      </c>
      <c r="G14" s="39">
        <f t="shared" si="0"/>
        <v>142121488</v>
      </c>
    </row>
    <row r="15" spans="1:7" ht="15" customHeight="1" x14ac:dyDescent="0.2">
      <c r="A15" s="102" t="s">
        <v>18</v>
      </c>
      <c r="B15" s="15"/>
      <c r="C15" s="10"/>
      <c r="D15" s="11"/>
      <c r="E15" s="12"/>
      <c r="F15" s="12"/>
      <c r="G15" s="10">
        <f t="shared" si="0"/>
        <v>0</v>
      </c>
    </row>
    <row r="16" spans="1:7" ht="15" customHeight="1" x14ac:dyDescent="0.2">
      <c r="A16" s="102" t="s">
        <v>19</v>
      </c>
      <c r="B16" s="15"/>
      <c r="C16" s="10"/>
      <c r="D16" s="11"/>
      <c r="E16" s="12"/>
      <c r="F16" s="12"/>
      <c r="G16" s="10"/>
    </row>
    <row r="17" spans="1:7" ht="15" customHeight="1" x14ac:dyDescent="0.2">
      <c r="A17" s="113" t="s">
        <v>20</v>
      </c>
      <c r="B17" s="15">
        <v>25648937</v>
      </c>
      <c r="C17" s="10">
        <f>4792353+(74942376+5000000-63000000)</f>
        <v>21734729</v>
      </c>
      <c r="D17" s="11">
        <v>0</v>
      </c>
      <c r="E17" s="12">
        <v>0</v>
      </c>
      <c r="F17" s="12">
        <f>4650000+((74942376+5000000-63000000)*1.06)</f>
        <v>22608918.560000002</v>
      </c>
      <c r="G17" s="10">
        <f t="shared" si="0"/>
        <v>22608918.560000002</v>
      </c>
    </row>
    <row r="18" spans="1:7" ht="15" customHeight="1" x14ac:dyDescent="0.2">
      <c r="A18" s="113" t="s">
        <v>21</v>
      </c>
      <c r="B18" s="15">
        <v>7578061</v>
      </c>
      <c r="C18" s="10">
        <f>841538+6408271</f>
        <v>7249809</v>
      </c>
      <c r="D18" s="11">
        <v>0</v>
      </c>
      <c r="E18" s="12">
        <v>0</v>
      </c>
      <c r="F18" s="12">
        <f>525649+6831575</f>
        <v>7357224</v>
      </c>
      <c r="G18" s="10">
        <f t="shared" si="0"/>
        <v>7357224</v>
      </c>
    </row>
    <row r="19" spans="1:7" ht="15" customHeight="1" x14ac:dyDescent="0.2">
      <c r="A19" s="113" t="s">
        <v>22</v>
      </c>
      <c r="B19" s="15">
        <v>0</v>
      </c>
      <c r="C19" s="10">
        <v>0</v>
      </c>
      <c r="D19" s="11">
        <v>0</v>
      </c>
      <c r="E19" s="12">
        <v>0</v>
      </c>
      <c r="F19" s="12">
        <v>0</v>
      </c>
      <c r="G19" s="10">
        <f t="shared" si="0"/>
        <v>0</v>
      </c>
    </row>
    <row r="20" spans="1:7" ht="15" customHeight="1" x14ac:dyDescent="0.2">
      <c r="A20" s="110" t="s">
        <v>23</v>
      </c>
      <c r="B20" s="15">
        <v>8107934</v>
      </c>
      <c r="C20" s="10">
        <f>7286085+973944+26056</f>
        <v>8286085</v>
      </c>
      <c r="D20" s="11">
        <f>7830987+75000+973944+26056</f>
        <v>8905987</v>
      </c>
      <c r="E20" s="12">
        <v>0</v>
      </c>
      <c r="F20" s="12">
        <v>0</v>
      </c>
      <c r="G20" s="10">
        <f t="shared" si="0"/>
        <v>8905987</v>
      </c>
    </row>
    <row r="21" spans="1:7" s="103" customFormat="1" ht="15" customHeight="1" x14ac:dyDescent="0.25">
      <c r="A21" s="132" t="s">
        <v>24</v>
      </c>
      <c r="B21" s="19">
        <f>SUM(B17:B20)</f>
        <v>41334932</v>
      </c>
      <c r="C21" s="20">
        <f>SUM(C17:C20)</f>
        <v>37270623</v>
      </c>
      <c r="D21" s="21">
        <f>SUM(D17:D20)</f>
        <v>8905987</v>
      </c>
      <c r="E21" s="22">
        <f>SUM(E17:E20)</f>
        <v>0</v>
      </c>
      <c r="F21" s="22">
        <f>SUM(F17:F20)</f>
        <v>29966142.560000002</v>
      </c>
      <c r="G21" s="39">
        <f t="shared" si="0"/>
        <v>38872129.560000002</v>
      </c>
    </row>
    <row r="22" spans="1:7" ht="15" customHeight="1" x14ac:dyDescent="0.2">
      <c r="A22" s="102" t="s">
        <v>25</v>
      </c>
      <c r="B22" s="15">
        <v>10160981</v>
      </c>
      <c r="C22" s="10">
        <f>1994415+6321498</f>
        <v>8315913</v>
      </c>
      <c r="D22" s="11">
        <v>0</v>
      </c>
      <c r="E22" s="12">
        <v>0</v>
      </c>
      <c r="F22" s="12">
        <f>2094136+(6321498*1.06)</f>
        <v>8794923.879999999</v>
      </c>
      <c r="G22" s="10">
        <f t="shared" si="0"/>
        <v>8794923.879999999</v>
      </c>
    </row>
    <row r="23" spans="1:7" ht="15" customHeight="1" x14ac:dyDescent="0.2">
      <c r="A23" s="102" t="s">
        <v>26</v>
      </c>
      <c r="B23" s="15">
        <v>458800</v>
      </c>
      <c r="C23" s="10">
        <f>3850+561932</f>
        <v>565782</v>
      </c>
      <c r="D23" s="11">
        <v>0</v>
      </c>
      <c r="E23" s="12">
        <v>517500</v>
      </c>
      <c r="F23" s="12">
        <v>0</v>
      </c>
      <c r="G23" s="10">
        <f t="shared" si="0"/>
        <v>517500</v>
      </c>
    </row>
    <row r="24" spans="1:7" ht="15" customHeight="1" x14ac:dyDescent="0.2">
      <c r="A24" s="102" t="s">
        <v>27</v>
      </c>
      <c r="B24" s="15">
        <v>28065896</v>
      </c>
      <c r="C24" s="10">
        <v>27877353</v>
      </c>
      <c r="D24" s="11">
        <v>0</v>
      </c>
      <c r="E24" s="12">
        <v>31423297</v>
      </c>
      <c r="F24" s="12">
        <v>0</v>
      </c>
      <c r="G24" s="10">
        <f t="shared" si="0"/>
        <v>31423297</v>
      </c>
    </row>
    <row r="25" spans="1:7" ht="15" customHeight="1" x14ac:dyDescent="0.2">
      <c r="A25" s="102" t="s">
        <v>28</v>
      </c>
      <c r="B25" s="15">
        <v>0</v>
      </c>
      <c r="C25" s="10">
        <v>200199</v>
      </c>
      <c r="D25" s="11">
        <v>0</v>
      </c>
      <c r="E25" s="12">
        <v>530184</v>
      </c>
      <c r="F25" s="12">
        <v>0</v>
      </c>
      <c r="G25" s="10">
        <f t="shared" si="0"/>
        <v>530184</v>
      </c>
    </row>
    <row r="26" spans="1:7" ht="15" customHeight="1" x14ac:dyDescent="0.2">
      <c r="A26" s="102" t="s">
        <v>29</v>
      </c>
      <c r="B26" s="15"/>
      <c r="C26" s="10"/>
      <c r="D26" s="11"/>
      <c r="E26" s="12"/>
      <c r="F26" s="12"/>
      <c r="G26" s="10"/>
    </row>
    <row r="27" spans="1:7" ht="15" customHeight="1" x14ac:dyDescent="0.2">
      <c r="A27" s="113" t="s">
        <v>30</v>
      </c>
      <c r="B27" s="15">
        <v>1145615</v>
      </c>
      <c r="C27" s="10">
        <v>1206021</v>
      </c>
      <c r="D27" s="11">
        <v>1134602</v>
      </c>
      <c r="E27" s="12">
        <v>0</v>
      </c>
      <c r="F27" s="12">
        <v>0</v>
      </c>
      <c r="G27" s="10">
        <f t="shared" si="0"/>
        <v>1134602</v>
      </c>
    </row>
    <row r="28" spans="1:7" ht="15" customHeight="1" x14ac:dyDescent="0.2">
      <c r="A28" s="113" t="s">
        <v>31</v>
      </c>
      <c r="B28" s="15">
        <v>0</v>
      </c>
      <c r="C28" s="10">
        <v>0</v>
      </c>
      <c r="D28" s="11">
        <v>0</v>
      </c>
      <c r="E28" s="12">
        <v>0</v>
      </c>
      <c r="F28" s="12">
        <v>0</v>
      </c>
      <c r="G28" s="10">
        <f t="shared" si="0"/>
        <v>0</v>
      </c>
    </row>
    <row r="29" spans="1:7" ht="15" customHeight="1" thickBot="1" x14ac:dyDescent="0.25">
      <c r="A29" s="127" t="s">
        <v>32</v>
      </c>
      <c r="B29" s="15">
        <v>6512259</v>
      </c>
      <c r="C29" s="10">
        <f>2770828+2783527</f>
        <v>5554355</v>
      </c>
      <c r="D29" s="11">
        <v>2209695</v>
      </c>
      <c r="E29" s="26">
        <v>2835096</v>
      </c>
      <c r="F29" s="170">
        <v>0</v>
      </c>
      <c r="G29" s="10">
        <f t="shared" si="0"/>
        <v>5044791</v>
      </c>
    </row>
    <row r="30" spans="1:7" s="103" customFormat="1" ht="15" customHeight="1" thickTop="1" x14ac:dyDescent="0.25">
      <c r="A30" s="121" t="s">
        <v>33</v>
      </c>
      <c r="B30" s="171">
        <f>B14+B21+SUM(B22:B29)</f>
        <v>226892855</v>
      </c>
      <c r="C30" s="30">
        <f>C14+C21+SUM(C22:C29)</f>
        <v>218144289</v>
      </c>
      <c r="D30" s="28">
        <f>D14+D21+SUM(D22:D29)</f>
        <v>138922510</v>
      </c>
      <c r="E30" s="172">
        <f>E14+E21+SUM(E22:E29)</f>
        <v>50755339</v>
      </c>
      <c r="F30" s="32">
        <f>F14+F21+SUM(F22:F29)</f>
        <v>38761066.439999998</v>
      </c>
      <c r="G30" s="173">
        <f t="shared" si="0"/>
        <v>228438915.44</v>
      </c>
    </row>
    <row r="31" spans="1:7" ht="15" customHeight="1" x14ac:dyDescent="0.2">
      <c r="A31" s="102"/>
      <c r="B31" s="174"/>
      <c r="C31" s="10"/>
      <c r="D31" s="11"/>
      <c r="E31" s="12"/>
      <c r="F31" s="12"/>
      <c r="G31" s="10"/>
    </row>
    <row r="32" spans="1:7" ht="15" customHeight="1" x14ac:dyDescent="0.25">
      <c r="A32" s="119" t="s">
        <v>34</v>
      </c>
      <c r="B32" s="175"/>
      <c r="C32" s="10"/>
      <c r="D32" s="11"/>
      <c r="E32" s="12"/>
      <c r="F32" s="12"/>
      <c r="G32" s="10"/>
    </row>
    <row r="33" spans="1:11" ht="15" customHeight="1" x14ac:dyDescent="0.2">
      <c r="A33" s="102" t="s">
        <v>35</v>
      </c>
      <c r="B33" s="174"/>
      <c r="C33" s="10"/>
      <c r="D33" s="11"/>
      <c r="E33" s="12"/>
      <c r="F33" s="12"/>
      <c r="G33" s="10"/>
      <c r="J33" s="124"/>
    </row>
    <row r="34" spans="1:11" ht="15" customHeight="1" x14ac:dyDescent="0.2">
      <c r="A34" s="113" t="s">
        <v>36</v>
      </c>
      <c r="B34" s="15">
        <v>64750702</v>
      </c>
      <c r="C34" s="10">
        <f>56509500+2917864+1588349+299410</f>
        <v>61315123</v>
      </c>
      <c r="D34" s="11">
        <f>62703402+412536</f>
        <v>63115938</v>
      </c>
      <c r="E34" s="12">
        <v>2424280</v>
      </c>
      <c r="F34" s="12">
        <v>1601391</v>
      </c>
      <c r="G34" s="10">
        <f t="shared" si="0"/>
        <v>67141609</v>
      </c>
      <c r="J34" s="123"/>
      <c r="K34" s="123"/>
    </row>
    <row r="35" spans="1:11" ht="15" customHeight="1" x14ac:dyDescent="0.2">
      <c r="A35" s="113" t="s">
        <v>37</v>
      </c>
      <c r="B35" s="15">
        <v>4598228</v>
      </c>
      <c r="C35" s="10">
        <f>633903+77081+5431732</f>
        <v>6142716</v>
      </c>
      <c r="D35" s="11">
        <v>656418</v>
      </c>
      <c r="E35" s="12">
        <v>23443</v>
      </c>
      <c r="F35" s="12">
        <v>4084600</v>
      </c>
      <c r="G35" s="10">
        <f t="shared" si="0"/>
        <v>4764461</v>
      </c>
      <c r="J35" s="123"/>
      <c r="K35" s="123"/>
    </row>
    <row r="36" spans="1:11" ht="15" customHeight="1" x14ac:dyDescent="0.2">
      <c r="A36" s="113" t="s">
        <v>38</v>
      </c>
      <c r="B36" s="15">
        <v>1638313</v>
      </c>
      <c r="C36" s="10">
        <f>19542+932711+491319</f>
        <v>1443572</v>
      </c>
      <c r="D36" s="11">
        <v>26278</v>
      </c>
      <c r="E36" s="12">
        <v>1477477</v>
      </c>
      <c r="F36" s="12">
        <v>436122</v>
      </c>
      <c r="G36" s="10">
        <f t="shared" si="0"/>
        <v>1939877</v>
      </c>
      <c r="J36" s="123"/>
      <c r="K36" s="123"/>
    </row>
    <row r="37" spans="1:11" ht="15" customHeight="1" x14ac:dyDescent="0.2">
      <c r="A37" s="113" t="s">
        <v>39</v>
      </c>
      <c r="B37" s="15">
        <v>17546483</v>
      </c>
      <c r="C37" s="10">
        <f>14770639+881446+0</f>
        <v>15652085</v>
      </c>
      <c r="D37" s="11">
        <v>16524467</v>
      </c>
      <c r="E37" s="12">
        <v>1322268</v>
      </c>
      <c r="F37" s="12">
        <v>0</v>
      </c>
      <c r="G37" s="10">
        <f t="shared" si="0"/>
        <v>17846735</v>
      </c>
      <c r="J37" s="123"/>
      <c r="K37" s="123"/>
    </row>
    <row r="38" spans="1:11" ht="15" customHeight="1" x14ac:dyDescent="0.2">
      <c r="A38" s="113" t="s">
        <v>40</v>
      </c>
      <c r="B38" s="15">
        <v>13937974</v>
      </c>
      <c r="C38" s="10">
        <f>10167391+2113052+112010</f>
        <v>12392453</v>
      </c>
      <c r="D38" s="11">
        <v>11703446</v>
      </c>
      <c r="E38" s="12">
        <v>2151540</v>
      </c>
      <c r="F38" s="12">
        <v>716008</v>
      </c>
      <c r="G38" s="10">
        <f t="shared" si="0"/>
        <v>14570994</v>
      </c>
      <c r="J38" s="123"/>
      <c r="K38" s="123"/>
    </row>
    <row r="39" spans="1:11" ht="15" customHeight="1" x14ac:dyDescent="0.2">
      <c r="A39" s="113" t="s">
        <v>41</v>
      </c>
      <c r="B39" s="15">
        <v>26362438</v>
      </c>
      <c r="C39" s="10">
        <f>18221376+1187303+4896+26056</f>
        <v>19439631</v>
      </c>
      <c r="D39" s="11">
        <f>22767512-1+75000+561408+26056-98000-17640</f>
        <v>23314335</v>
      </c>
      <c r="E39" s="12">
        <v>1044388</v>
      </c>
      <c r="F39" s="12">
        <f>431664+0.45</f>
        <v>431664.45</v>
      </c>
      <c r="G39" s="10">
        <f t="shared" si="0"/>
        <v>24790387.449999999</v>
      </c>
      <c r="I39" s="124"/>
      <c r="J39" s="123"/>
      <c r="K39" s="123"/>
    </row>
    <row r="40" spans="1:11" ht="15" customHeight="1" x14ac:dyDescent="0.2">
      <c r="A40" s="113" t="s">
        <v>42</v>
      </c>
      <c r="B40" s="15">
        <v>11678836</v>
      </c>
      <c r="C40" s="10">
        <f>10773054+215063+0</f>
        <v>10988117</v>
      </c>
      <c r="D40" s="11">
        <f>11895131+98000+17640</f>
        <v>12010771</v>
      </c>
      <c r="E40" s="12">
        <v>265118</v>
      </c>
      <c r="F40" s="12">
        <v>0</v>
      </c>
      <c r="G40" s="10">
        <f t="shared" si="0"/>
        <v>12275889</v>
      </c>
      <c r="J40" s="123"/>
      <c r="K40" s="123"/>
    </row>
    <row r="41" spans="1:11" ht="15" customHeight="1" x14ac:dyDescent="0.2">
      <c r="A41" s="113" t="s">
        <v>43</v>
      </c>
      <c r="B41" s="15">
        <v>40827537</v>
      </c>
      <c r="C41" s="10">
        <f>5561043+128594+(6321498+74942376+5000000-63000000+6408271)</f>
        <v>35361782</v>
      </c>
      <c r="D41" s="11">
        <v>8186268</v>
      </c>
      <c r="E41" s="12">
        <v>107224</v>
      </c>
      <c r="F41" s="12">
        <f>31491280+0.45</f>
        <v>31491280.449999999</v>
      </c>
      <c r="G41" s="10">
        <f t="shared" si="0"/>
        <v>39784772.450000003</v>
      </c>
      <c r="J41" s="123"/>
      <c r="K41" s="123"/>
    </row>
    <row r="42" spans="1:11" ht="15" customHeight="1" x14ac:dyDescent="0.2">
      <c r="A42" s="102" t="s">
        <v>44</v>
      </c>
      <c r="B42" s="15">
        <v>26834959</v>
      </c>
      <c r="C42" s="10">
        <f>22328119</f>
        <v>22328119</v>
      </c>
      <c r="D42" s="11">
        <v>0</v>
      </c>
      <c r="E42" s="12">
        <v>27044543</v>
      </c>
      <c r="F42" s="12">
        <v>0</v>
      </c>
      <c r="G42" s="10">
        <f t="shared" si="0"/>
        <v>27044543</v>
      </c>
      <c r="J42" s="123"/>
      <c r="K42" s="123"/>
    </row>
    <row r="43" spans="1:11" ht="15" customHeight="1" x14ac:dyDescent="0.2">
      <c r="A43" s="102" t="s">
        <v>28</v>
      </c>
      <c r="B43" s="15">
        <v>0</v>
      </c>
      <c r="C43" s="10">
        <v>0</v>
      </c>
      <c r="D43" s="11">
        <v>0</v>
      </c>
      <c r="E43" s="12">
        <v>0</v>
      </c>
      <c r="F43" s="12">
        <v>0</v>
      </c>
      <c r="G43" s="10">
        <f t="shared" si="0"/>
        <v>0</v>
      </c>
    </row>
    <row r="44" spans="1:11" ht="15" customHeight="1" thickBot="1" x14ac:dyDescent="0.25">
      <c r="A44" s="122" t="s">
        <v>45</v>
      </c>
      <c r="B44" s="15">
        <v>0</v>
      </c>
      <c r="C44" s="10">
        <v>0</v>
      </c>
      <c r="D44" s="11">
        <v>0</v>
      </c>
      <c r="E44" s="26">
        <v>0</v>
      </c>
      <c r="F44" s="170">
        <v>0</v>
      </c>
      <c r="G44" s="49">
        <f t="shared" si="0"/>
        <v>0</v>
      </c>
    </row>
    <row r="45" spans="1:11" s="103" customFormat="1" ht="15" customHeight="1" thickTop="1" x14ac:dyDescent="0.25">
      <c r="A45" s="121" t="s">
        <v>46</v>
      </c>
      <c r="B45" s="29">
        <f>SUM(B34:B44)</f>
        <v>208175470</v>
      </c>
      <c r="C45" s="30">
        <f>SUM(C34:C44)</f>
        <v>185063598</v>
      </c>
      <c r="D45" s="31">
        <f>SUM(D34:D44)</f>
        <v>135537921</v>
      </c>
      <c r="E45" s="32">
        <f>SUM(E34:E44)</f>
        <v>35860281</v>
      </c>
      <c r="F45" s="32">
        <f>SUM(F34:F44)</f>
        <v>38761065.899999999</v>
      </c>
      <c r="G45" s="173">
        <f t="shared" si="0"/>
        <v>210159267.90000001</v>
      </c>
    </row>
    <row r="46" spans="1:11" ht="15" customHeight="1" x14ac:dyDescent="0.2">
      <c r="A46" s="102"/>
      <c r="B46" s="174"/>
      <c r="C46" s="10"/>
      <c r="D46" s="11"/>
      <c r="E46" s="12"/>
      <c r="F46" s="12"/>
      <c r="G46" s="10"/>
    </row>
    <row r="47" spans="1:11" ht="15" customHeight="1" x14ac:dyDescent="0.25">
      <c r="A47" s="119" t="s">
        <v>47</v>
      </c>
      <c r="B47" s="175"/>
      <c r="C47" s="10"/>
      <c r="D47" s="11"/>
      <c r="E47" s="12"/>
      <c r="F47" s="12"/>
      <c r="G47" s="10"/>
    </row>
    <row r="48" spans="1:11" ht="15" customHeight="1" x14ac:dyDescent="0.2">
      <c r="A48" s="102" t="s">
        <v>48</v>
      </c>
      <c r="B48" s="174"/>
      <c r="C48" s="10"/>
      <c r="D48" s="11"/>
      <c r="E48" s="12"/>
      <c r="F48" s="12"/>
      <c r="G48" s="10"/>
    </row>
    <row r="49" spans="1:7" ht="15" customHeight="1" x14ac:dyDescent="0.2">
      <c r="A49" s="113" t="s">
        <v>49</v>
      </c>
      <c r="B49" s="15">
        <v>12230650</v>
      </c>
      <c r="C49" s="10">
        <f>3017088+8207205</f>
        <v>11224293</v>
      </c>
      <c r="D49" s="11">
        <f>3017088+20000</f>
        <v>3037088</v>
      </c>
      <c r="E49" s="12">
        <v>12197704</v>
      </c>
      <c r="F49" s="12">
        <v>0</v>
      </c>
      <c r="G49" s="10">
        <f t="shared" si="0"/>
        <v>15234792</v>
      </c>
    </row>
    <row r="50" spans="1:7" ht="15" customHeight="1" x14ac:dyDescent="0.2">
      <c r="A50" s="113" t="s">
        <v>50</v>
      </c>
      <c r="B50" s="15">
        <v>0</v>
      </c>
      <c r="C50" s="10">
        <v>0</v>
      </c>
      <c r="D50" s="11">
        <v>0</v>
      </c>
      <c r="E50" s="12">
        <v>0</v>
      </c>
      <c r="F50" s="12">
        <v>0</v>
      </c>
      <c r="G50" s="10">
        <f t="shared" si="0"/>
        <v>0</v>
      </c>
    </row>
    <row r="51" spans="1:7" ht="15" customHeight="1" x14ac:dyDescent="0.2">
      <c r="A51" s="110" t="s">
        <v>51</v>
      </c>
      <c r="B51" s="15">
        <v>0</v>
      </c>
      <c r="C51" s="10">
        <v>0</v>
      </c>
      <c r="D51" s="11">
        <v>0</v>
      </c>
      <c r="E51" s="36">
        <v>0</v>
      </c>
      <c r="F51" s="12">
        <v>0</v>
      </c>
      <c r="G51" s="10">
        <f t="shared" si="0"/>
        <v>0</v>
      </c>
    </row>
    <row r="52" spans="1:7" ht="15" customHeight="1" x14ac:dyDescent="0.2">
      <c r="A52" s="117" t="s">
        <v>52</v>
      </c>
      <c r="B52" s="38">
        <f>SUM(B49:B51)</f>
        <v>12230650</v>
      </c>
      <c r="C52" s="39">
        <f>SUM(C49:C51)</f>
        <v>11224293</v>
      </c>
      <c r="D52" s="40">
        <f>SUM(D49:D51)</f>
        <v>3037088</v>
      </c>
      <c r="E52" s="36">
        <f>SUM(E49:E51)</f>
        <v>12197704</v>
      </c>
      <c r="F52" s="176">
        <f>SUM(F49:F51)</f>
        <v>0</v>
      </c>
      <c r="G52" s="39">
        <f t="shared" si="0"/>
        <v>15234792</v>
      </c>
    </row>
    <row r="53" spans="1:7" ht="15" customHeight="1" x14ac:dyDescent="0.2">
      <c r="A53" s="102"/>
      <c r="B53" s="174"/>
      <c r="C53" s="10"/>
      <c r="D53" s="11"/>
      <c r="E53" s="12"/>
      <c r="F53" s="12"/>
      <c r="G53" s="10"/>
    </row>
    <row r="54" spans="1:7" ht="15" customHeight="1" x14ac:dyDescent="0.2">
      <c r="A54" s="102" t="s">
        <v>53</v>
      </c>
      <c r="B54" s="174"/>
      <c r="C54" s="10"/>
      <c r="D54" s="11"/>
      <c r="E54" s="12"/>
      <c r="F54" s="12"/>
      <c r="G54" s="10"/>
    </row>
    <row r="55" spans="1:7" ht="15" customHeight="1" x14ac:dyDescent="0.2">
      <c r="A55" s="113" t="s">
        <v>54</v>
      </c>
      <c r="B55" s="15">
        <v>0</v>
      </c>
      <c r="C55" s="10">
        <v>0</v>
      </c>
      <c r="D55" s="11">
        <v>0</v>
      </c>
      <c r="E55" s="12">
        <v>0</v>
      </c>
      <c r="F55" s="12">
        <v>0</v>
      </c>
      <c r="G55" s="10">
        <f t="shared" si="0"/>
        <v>0</v>
      </c>
    </row>
    <row r="56" spans="1:7" ht="15" customHeight="1" x14ac:dyDescent="0.2">
      <c r="A56" s="110" t="s">
        <v>45</v>
      </c>
      <c r="B56" s="42">
        <v>6486735</v>
      </c>
      <c r="C56" s="43">
        <f>11428364+9753500+674534</f>
        <v>21856398</v>
      </c>
      <c r="D56" s="44">
        <f>313585+33916</f>
        <v>347501</v>
      </c>
      <c r="E56" s="36">
        <f>2291280+406074</f>
        <v>2697354</v>
      </c>
      <c r="F56" s="36">
        <v>0</v>
      </c>
      <c r="G56" s="10">
        <f t="shared" si="0"/>
        <v>3044855</v>
      </c>
    </row>
    <row r="57" spans="1:7" ht="15" customHeight="1" thickBot="1" x14ac:dyDescent="0.25">
      <c r="A57" s="108" t="s">
        <v>56</v>
      </c>
      <c r="B57" s="46">
        <f>SUM(B55:B56)</f>
        <v>6486735</v>
      </c>
      <c r="C57" s="47">
        <f>SUM(C55:C56)</f>
        <v>21856398</v>
      </c>
      <c r="D57" s="48">
        <f>SUM(D55:D56)</f>
        <v>347501</v>
      </c>
      <c r="E57" s="26">
        <f>SUM(E55:E56)</f>
        <v>2697354</v>
      </c>
      <c r="F57" s="26">
        <f>SUM(F55:F56)</f>
        <v>0</v>
      </c>
      <c r="G57" s="47">
        <f t="shared" si="0"/>
        <v>3044855</v>
      </c>
    </row>
    <row r="58" spans="1:7" s="103" customFormat="1" ht="15" customHeight="1" thickTop="1" x14ac:dyDescent="0.25">
      <c r="A58" s="106" t="s">
        <v>57</v>
      </c>
      <c r="B58" s="177">
        <f>B45+B52+B56</f>
        <v>226892855</v>
      </c>
      <c r="C58" s="51">
        <f>C45+C52+C57</f>
        <v>218144289</v>
      </c>
      <c r="D58" s="52">
        <f>D45+D52+D57</f>
        <v>138922510</v>
      </c>
      <c r="E58" s="32">
        <f>E45+E52+E57</f>
        <v>50755339</v>
      </c>
      <c r="F58" s="32">
        <f>F45+F52+F57</f>
        <v>38761065.899999999</v>
      </c>
      <c r="G58" s="173">
        <f t="shared" si="0"/>
        <v>228438914.90000001</v>
      </c>
    </row>
    <row r="59" spans="1:7" ht="15" customHeight="1" x14ac:dyDescent="0.2">
      <c r="A59" s="102"/>
      <c r="B59" s="101"/>
      <c r="C59" s="97"/>
      <c r="D59" s="100"/>
      <c r="E59" s="99"/>
      <c r="F59" s="98"/>
      <c r="G59" s="97"/>
    </row>
    <row r="60" spans="1:7" ht="15" customHeight="1" thickBot="1" x14ac:dyDescent="0.25">
      <c r="A60" s="96" t="s">
        <v>58</v>
      </c>
      <c r="B60" s="95">
        <f>B30-B58</f>
        <v>0</v>
      </c>
      <c r="C60" s="95">
        <f>C30-C58</f>
        <v>0</v>
      </c>
      <c r="D60" s="94">
        <f>D30-D58</f>
        <v>0</v>
      </c>
      <c r="E60" s="93">
        <f>E30-E58</f>
        <v>0</v>
      </c>
      <c r="F60" s="92">
        <f>F30-F58</f>
        <v>0.53999999910593033</v>
      </c>
      <c r="G60" s="91">
        <f>SUM(D60:F60)</f>
        <v>0.53999999910593033</v>
      </c>
    </row>
    <row r="62" spans="1:7" x14ac:dyDescent="0.2">
      <c r="A62" s="90" t="s">
        <v>76</v>
      </c>
      <c r="B62" s="90"/>
      <c r="C62" s="90"/>
      <c r="D62" s="89"/>
    </row>
    <row r="63" spans="1:7" x14ac:dyDescent="0.2">
      <c r="A63" s="208">
        <v>42530</v>
      </c>
      <c r="B63" s="88"/>
      <c r="C63" s="88"/>
    </row>
    <row r="64" spans="1:7" x14ac:dyDescent="0.2">
      <c r="A64" s="87"/>
      <c r="B64" s="87"/>
      <c r="C64" s="87"/>
    </row>
    <row r="65" spans="1:12" x14ac:dyDescent="0.2">
      <c r="A65" s="87"/>
      <c r="B65" s="87"/>
      <c r="C65" s="87"/>
      <c r="D65" s="85"/>
      <c r="E65" s="85"/>
      <c r="F65" s="85"/>
      <c r="G65" s="85"/>
    </row>
    <row r="66" spans="1:12" x14ac:dyDescent="0.2">
      <c r="A66" s="87"/>
      <c r="B66" s="87"/>
      <c r="C66" s="87"/>
      <c r="D66" s="85"/>
      <c r="E66" s="85"/>
      <c r="F66" s="85"/>
      <c r="G66" s="85"/>
    </row>
    <row r="67" spans="1:12" x14ac:dyDescent="0.2">
      <c r="A67" s="87"/>
      <c r="B67" s="87"/>
      <c r="C67" s="87"/>
      <c r="D67" s="85"/>
      <c r="E67" s="85"/>
      <c r="F67" s="85"/>
      <c r="G67" s="85"/>
    </row>
    <row r="68" spans="1:12" x14ac:dyDescent="0.2">
      <c r="A68" s="87"/>
      <c r="B68" s="87"/>
      <c r="C68" s="87"/>
      <c r="D68" s="85"/>
      <c r="E68" s="85"/>
      <c r="F68" s="85"/>
      <c r="G68" s="85"/>
    </row>
    <row r="69" spans="1:12" x14ac:dyDescent="0.2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</row>
    <row r="70" spans="1:12" x14ac:dyDescent="0.2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</row>
    <row r="71" spans="1:12" x14ac:dyDescent="0.2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</row>
    <row r="72" spans="1:12" x14ac:dyDescent="0.2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</row>
    <row r="73" spans="1:12" x14ac:dyDescent="0.2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1:12" x14ac:dyDescent="0.2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</row>
    <row r="75" spans="1:12" x14ac:dyDescent="0.2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</row>
    <row r="76" spans="1:12" x14ac:dyDescent="0.2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</row>
    <row r="77" spans="1:12" x14ac:dyDescent="0.2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</row>
    <row r="78" spans="1:12" x14ac:dyDescent="0.2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</row>
    <row r="79" spans="1:12" x14ac:dyDescent="0.2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</row>
    <row r="80" spans="1:12" x14ac:dyDescent="0.2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</row>
    <row r="81" spans="1:12" x14ac:dyDescent="0.2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</row>
    <row r="82" spans="1:12" x14ac:dyDescent="0.2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</row>
  </sheetData>
  <mergeCells count="3">
    <mergeCell ref="D5:G5"/>
    <mergeCell ref="A5:A6"/>
    <mergeCell ref="B5:C5"/>
  </mergeCells>
  <printOptions horizontalCentered="1"/>
  <pageMargins left="0.7" right="0.7" top="0.75" bottom="0.75" header="0.3" footer="0.3"/>
  <pageSetup scale="6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zoomScaleNormal="100" workbookViewId="0"/>
  </sheetViews>
  <sheetFormatPr defaultColWidth="9.140625" defaultRowHeight="15" x14ac:dyDescent="0.2"/>
  <cols>
    <col min="1" max="1" width="51.7109375" style="2" customWidth="1"/>
    <col min="2" max="2" width="17.7109375" style="65" customWidth="1"/>
    <col min="3" max="3" width="17.7109375" style="2" customWidth="1"/>
    <col min="4" max="7" width="17.7109375" style="60" customWidth="1"/>
    <col min="8" max="8" width="9.140625" style="2"/>
    <col min="9" max="9" width="14.42578125" style="2" customWidth="1"/>
    <col min="10" max="16384" width="9.140625" style="2"/>
  </cols>
  <sheetData>
    <row r="1" spans="1:7" ht="15.75" x14ac:dyDescent="0.25">
      <c r="A1" s="138" t="s">
        <v>77</v>
      </c>
      <c r="B1" s="1"/>
      <c r="C1" s="1"/>
      <c r="D1" s="1"/>
      <c r="E1" s="1"/>
      <c r="F1" s="1"/>
      <c r="G1" s="1"/>
    </row>
    <row r="2" spans="1:7" ht="15.75" x14ac:dyDescent="0.25">
      <c r="A2" s="1" t="s">
        <v>0</v>
      </c>
      <c r="B2" s="1"/>
      <c r="C2" s="1"/>
      <c r="D2" s="1"/>
      <c r="E2" s="1"/>
      <c r="F2" s="1"/>
      <c r="G2" s="1"/>
    </row>
    <row r="3" spans="1:7" x14ac:dyDescent="0.2">
      <c r="A3" s="3" t="s">
        <v>1</v>
      </c>
      <c r="B3" s="3"/>
      <c r="C3" s="3"/>
      <c r="D3" s="3"/>
      <c r="E3" s="3"/>
      <c r="F3" s="3"/>
      <c r="G3" s="3"/>
    </row>
    <row r="4" spans="1:7" ht="15.75" thickBot="1" x14ac:dyDescent="0.25">
      <c r="A4" s="4"/>
      <c r="B4" s="5"/>
      <c r="C4" s="4"/>
      <c r="D4" s="4"/>
      <c r="E4" s="4"/>
      <c r="F4" s="4"/>
      <c r="G4" s="4"/>
    </row>
    <row r="5" spans="1:7" ht="15.75" customHeight="1" thickBot="1" x14ac:dyDescent="0.3">
      <c r="A5" s="209" t="s">
        <v>2</v>
      </c>
      <c r="B5" s="211" t="s">
        <v>3</v>
      </c>
      <c r="C5" s="212"/>
      <c r="D5" s="213" t="s">
        <v>73</v>
      </c>
      <c r="E5" s="214"/>
      <c r="F5" s="214"/>
      <c r="G5" s="215"/>
    </row>
    <row r="6" spans="1:7" s="7" customFormat="1" ht="49.5" customHeight="1" thickBot="1" x14ac:dyDescent="0.3">
      <c r="A6" s="210"/>
      <c r="B6" s="6" t="s">
        <v>4</v>
      </c>
      <c r="C6" s="6" t="s">
        <v>5</v>
      </c>
      <c r="D6" s="163" t="s">
        <v>6</v>
      </c>
      <c r="E6" s="164" t="s">
        <v>7</v>
      </c>
      <c r="F6" s="164" t="s">
        <v>8</v>
      </c>
      <c r="G6" s="165" t="s">
        <v>9</v>
      </c>
    </row>
    <row r="7" spans="1:7" ht="15.75" x14ac:dyDescent="0.25">
      <c r="A7" s="8" t="s">
        <v>10</v>
      </c>
      <c r="B7" s="9"/>
      <c r="C7" s="10"/>
      <c r="D7" s="11"/>
      <c r="E7" s="12"/>
      <c r="F7" s="12"/>
      <c r="G7" s="13"/>
    </row>
    <row r="8" spans="1:7" ht="15" customHeight="1" x14ac:dyDescent="0.2">
      <c r="A8" s="14" t="s">
        <v>11</v>
      </c>
      <c r="B8" s="15"/>
      <c r="C8" s="10"/>
      <c r="D8" s="11"/>
      <c r="E8" s="12"/>
      <c r="F8" s="12"/>
      <c r="G8" s="10"/>
    </row>
    <row r="9" spans="1:7" x14ac:dyDescent="0.2">
      <c r="A9" s="16" t="s">
        <v>12</v>
      </c>
      <c r="B9" s="15">
        <v>13741293</v>
      </c>
      <c r="C9" s="10">
        <v>13741293</v>
      </c>
      <c r="D9" s="11">
        <v>13887535</v>
      </c>
      <c r="E9" s="12">
        <v>0</v>
      </c>
      <c r="F9" s="12">
        <v>0</v>
      </c>
      <c r="G9" s="10">
        <v>13887535</v>
      </c>
    </row>
    <row r="10" spans="1:7" x14ac:dyDescent="0.2">
      <c r="A10" s="16" t="s">
        <v>13</v>
      </c>
      <c r="B10" s="15">
        <v>91166508</v>
      </c>
      <c r="C10" s="24">
        <v>89660713</v>
      </c>
      <c r="D10" s="11">
        <v>95271741</v>
      </c>
      <c r="E10" s="12">
        <v>0</v>
      </c>
      <c r="F10" s="12">
        <v>0</v>
      </c>
      <c r="G10" s="10">
        <v>95271741</v>
      </c>
    </row>
    <row r="11" spans="1:7" x14ac:dyDescent="0.2">
      <c r="A11" s="16" t="s">
        <v>14</v>
      </c>
      <c r="B11" s="15">
        <v>50523184</v>
      </c>
      <c r="C11" s="24">
        <v>45091478</v>
      </c>
      <c r="D11" s="11">
        <v>43578186</v>
      </c>
      <c r="E11" s="12">
        <v>0</v>
      </c>
      <c r="F11" s="12">
        <v>0</v>
      </c>
      <c r="G11" s="10">
        <v>43578186</v>
      </c>
    </row>
    <row r="12" spans="1:7" x14ac:dyDescent="0.2">
      <c r="A12" s="16" t="s">
        <v>15</v>
      </c>
      <c r="B12" s="15">
        <v>20558673</v>
      </c>
      <c r="C12" s="10">
        <v>20291096</v>
      </c>
      <c r="D12" s="11">
        <v>0</v>
      </c>
      <c r="E12" s="12">
        <v>19478975</v>
      </c>
      <c r="F12" s="12">
        <v>0</v>
      </c>
      <c r="G12" s="10">
        <v>19478975</v>
      </c>
    </row>
    <row r="13" spans="1:7" x14ac:dyDescent="0.2">
      <c r="A13" s="17" t="s">
        <v>16</v>
      </c>
      <c r="B13" s="15">
        <v>18067806</v>
      </c>
      <c r="C13" s="10">
        <v>20188262</v>
      </c>
      <c r="D13" s="11">
        <v>13949334</v>
      </c>
      <c r="E13" s="12">
        <v>7059348</v>
      </c>
      <c r="F13" s="12">
        <v>0</v>
      </c>
      <c r="G13" s="10">
        <v>21008682</v>
      </c>
    </row>
    <row r="14" spans="1:7" s="23" customFormat="1" ht="15.75" x14ac:dyDescent="0.25">
      <c r="A14" s="18" t="s">
        <v>17</v>
      </c>
      <c r="B14" s="19">
        <v>194057464</v>
      </c>
      <c r="C14" s="20">
        <v>188972842</v>
      </c>
      <c r="D14" s="21">
        <v>166686796</v>
      </c>
      <c r="E14" s="22">
        <v>26538323</v>
      </c>
      <c r="F14" s="22">
        <v>0</v>
      </c>
      <c r="G14" s="20">
        <v>193225119</v>
      </c>
    </row>
    <row r="15" spans="1:7" x14ac:dyDescent="0.2">
      <c r="A15" s="14" t="s">
        <v>18</v>
      </c>
      <c r="B15" s="15">
        <v>5115</v>
      </c>
      <c r="C15" s="10">
        <v>5223</v>
      </c>
      <c r="D15" s="11">
        <v>0</v>
      </c>
      <c r="E15" s="12">
        <v>5223</v>
      </c>
      <c r="F15" s="12">
        <v>0</v>
      </c>
      <c r="G15" s="10">
        <v>5223</v>
      </c>
    </row>
    <row r="16" spans="1:7" x14ac:dyDescent="0.2">
      <c r="A16" s="14" t="s">
        <v>19</v>
      </c>
      <c r="B16" s="15"/>
      <c r="C16" s="10"/>
      <c r="D16" s="11"/>
      <c r="E16" s="12"/>
      <c r="F16" s="12"/>
      <c r="G16" s="10"/>
    </row>
    <row r="17" spans="1:9" x14ac:dyDescent="0.2">
      <c r="A17" s="16" t="s">
        <v>20</v>
      </c>
      <c r="B17" s="15">
        <v>28636620</v>
      </c>
      <c r="C17" s="10">
        <v>29265894</v>
      </c>
      <c r="D17" s="11">
        <v>0</v>
      </c>
      <c r="E17" s="12">
        <v>0</v>
      </c>
      <c r="F17" s="12">
        <v>28779397</v>
      </c>
      <c r="G17" s="10">
        <v>28779397</v>
      </c>
    </row>
    <row r="18" spans="1:9" x14ac:dyDescent="0.2">
      <c r="A18" s="16" t="s">
        <v>21</v>
      </c>
      <c r="B18" s="15">
        <v>10492231</v>
      </c>
      <c r="C18" s="10">
        <v>10954273</v>
      </c>
      <c r="D18" s="11">
        <v>0</v>
      </c>
      <c r="E18" s="12">
        <v>0</v>
      </c>
      <c r="F18" s="12">
        <v>10935823</v>
      </c>
      <c r="G18" s="10">
        <v>10935823</v>
      </c>
    </row>
    <row r="19" spans="1:9" x14ac:dyDescent="0.2">
      <c r="A19" s="16" t="s">
        <v>22</v>
      </c>
      <c r="B19" s="15">
        <v>0</v>
      </c>
      <c r="C19" s="10">
        <v>0</v>
      </c>
      <c r="D19" s="11">
        <v>0</v>
      </c>
      <c r="E19" s="12">
        <v>0</v>
      </c>
      <c r="F19" s="12">
        <v>0</v>
      </c>
      <c r="G19" s="10">
        <v>0</v>
      </c>
    </row>
    <row r="20" spans="1:9" x14ac:dyDescent="0.2">
      <c r="A20" s="17" t="s">
        <v>23</v>
      </c>
      <c r="B20" s="15">
        <v>14805248</v>
      </c>
      <c r="C20" s="10">
        <v>15169288</v>
      </c>
      <c r="D20" s="11">
        <v>15448141</v>
      </c>
      <c r="E20" s="12">
        <v>0</v>
      </c>
      <c r="F20" s="12">
        <v>0</v>
      </c>
      <c r="G20" s="10">
        <v>15448141</v>
      </c>
    </row>
    <row r="21" spans="1:9" s="23" customFormat="1" ht="15.75" x14ac:dyDescent="0.25">
      <c r="A21" s="18" t="s">
        <v>24</v>
      </c>
      <c r="B21" s="19">
        <v>53939214</v>
      </c>
      <c r="C21" s="20">
        <v>55394678</v>
      </c>
      <c r="D21" s="21">
        <v>15448141</v>
      </c>
      <c r="E21" s="22">
        <v>5223</v>
      </c>
      <c r="F21" s="22">
        <v>39715220</v>
      </c>
      <c r="G21" s="20">
        <v>55168584</v>
      </c>
    </row>
    <row r="22" spans="1:9" x14ac:dyDescent="0.2">
      <c r="A22" s="14" t="s">
        <v>25</v>
      </c>
      <c r="B22" s="15">
        <v>7286304</v>
      </c>
      <c r="C22" s="10">
        <v>6592824</v>
      </c>
      <c r="D22" s="11">
        <v>0</v>
      </c>
      <c r="E22" s="12">
        <v>0</v>
      </c>
      <c r="F22" s="12">
        <v>6737366</v>
      </c>
      <c r="G22" s="10">
        <v>6737366</v>
      </c>
    </row>
    <row r="23" spans="1:9" x14ac:dyDescent="0.2">
      <c r="A23" s="14" t="s">
        <v>26</v>
      </c>
      <c r="B23" s="15">
        <v>6445334</v>
      </c>
      <c r="C23" s="10">
        <v>7474025</v>
      </c>
      <c r="D23" s="11">
        <v>0</v>
      </c>
      <c r="E23" s="12">
        <v>7695494</v>
      </c>
      <c r="F23" s="12">
        <v>0</v>
      </c>
      <c r="G23" s="24">
        <v>7695494</v>
      </c>
    </row>
    <row r="24" spans="1:9" x14ac:dyDescent="0.2">
      <c r="A24" s="14" t="s">
        <v>27</v>
      </c>
      <c r="B24" s="15">
        <v>547145</v>
      </c>
      <c r="C24" s="10">
        <v>552168</v>
      </c>
      <c r="D24" s="11">
        <v>0</v>
      </c>
      <c r="E24" s="12">
        <v>572127</v>
      </c>
      <c r="F24" s="12">
        <v>0</v>
      </c>
      <c r="G24" s="10">
        <v>572127</v>
      </c>
    </row>
    <row r="25" spans="1:9" x14ac:dyDescent="0.2">
      <c r="A25" s="14" t="s">
        <v>28</v>
      </c>
      <c r="B25" s="15">
        <v>0</v>
      </c>
      <c r="C25" s="10">
        <v>0</v>
      </c>
      <c r="D25" s="11">
        <v>0</v>
      </c>
      <c r="E25" s="12">
        <v>0</v>
      </c>
      <c r="F25" s="12">
        <v>0</v>
      </c>
      <c r="G25" s="10">
        <v>0</v>
      </c>
    </row>
    <row r="26" spans="1:9" x14ac:dyDescent="0.2">
      <c r="A26" s="14" t="s">
        <v>29</v>
      </c>
      <c r="B26" s="15"/>
      <c r="C26" s="10"/>
      <c r="D26" s="11"/>
      <c r="E26" s="12"/>
      <c r="F26" s="12"/>
      <c r="G26" s="10"/>
    </row>
    <row r="27" spans="1:9" x14ac:dyDescent="0.2">
      <c r="A27" s="16" t="s">
        <v>30</v>
      </c>
      <c r="B27" s="15">
        <v>3000000</v>
      </c>
      <c r="C27" s="10">
        <v>3396061</v>
      </c>
      <c r="D27" s="11">
        <v>3000000</v>
      </c>
      <c r="E27" s="12">
        <v>0</v>
      </c>
      <c r="F27" s="12">
        <v>0</v>
      </c>
      <c r="G27" s="10">
        <v>3000000</v>
      </c>
    </row>
    <row r="28" spans="1:9" x14ac:dyDescent="0.2">
      <c r="A28" s="16" t="s">
        <v>31</v>
      </c>
      <c r="B28" s="15">
        <v>5080236</v>
      </c>
      <c r="C28" s="10">
        <v>5080236</v>
      </c>
      <c r="D28" s="11">
        <v>5147735</v>
      </c>
      <c r="E28" s="12">
        <v>0</v>
      </c>
      <c r="F28" s="12">
        <v>0</v>
      </c>
      <c r="G28" s="10">
        <v>5147735</v>
      </c>
    </row>
    <row r="29" spans="1:9" ht="15.75" thickBot="1" x14ac:dyDescent="0.25">
      <c r="A29" s="25" t="s">
        <v>32</v>
      </c>
      <c r="B29" s="15">
        <v>6417004</v>
      </c>
      <c r="C29" s="10">
        <v>6523535</v>
      </c>
      <c r="D29" s="11">
        <v>1206140</v>
      </c>
      <c r="E29" s="26">
        <v>5319091</v>
      </c>
      <c r="F29" s="12">
        <v>0</v>
      </c>
      <c r="G29" s="27">
        <v>6525231</v>
      </c>
    </row>
    <row r="30" spans="1:9" s="23" customFormat="1" ht="16.5" thickTop="1" x14ac:dyDescent="0.25">
      <c r="A30" s="28" t="s">
        <v>33</v>
      </c>
      <c r="B30" s="29">
        <v>276772701</v>
      </c>
      <c r="C30" s="30">
        <v>273986369</v>
      </c>
      <c r="D30" s="31">
        <v>191488812</v>
      </c>
      <c r="E30" s="32">
        <v>40130258</v>
      </c>
      <c r="F30" s="33">
        <v>46452586</v>
      </c>
      <c r="G30" s="30">
        <v>278071656</v>
      </c>
    </row>
    <row r="31" spans="1:9" ht="8.25" customHeight="1" x14ac:dyDescent="0.2">
      <c r="A31" s="14"/>
      <c r="B31" s="15"/>
      <c r="C31" s="10"/>
      <c r="D31" s="11"/>
      <c r="E31" s="12"/>
      <c r="F31" s="12"/>
      <c r="G31" s="10"/>
    </row>
    <row r="32" spans="1:9" ht="15.75" x14ac:dyDescent="0.25">
      <c r="A32" s="8" t="s">
        <v>34</v>
      </c>
      <c r="B32" s="9"/>
      <c r="C32" s="10"/>
      <c r="D32" s="11"/>
      <c r="E32" s="12"/>
      <c r="F32" s="12"/>
      <c r="G32" s="10"/>
      <c r="I32" s="34"/>
    </row>
    <row r="33" spans="1:7" x14ac:dyDescent="0.2">
      <c r="A33" s="14" t="s">
        <v>35</v>
      </c>
      <c r="B33" s="15"/>
      <c r="C33" s="10"/>
      <c r="D33" s="11"/>
      <c r="E33" s="12"/>
      <c r="F33" s="12"/>
      <c r="G33" s="10"/>
    </row>
    <row r="34" spans="1:7" x14ac:dyDescent="0.2">
      <c r="A34" s="16" t="s">
        <v>36</v>
      </c>
      <c r="B34" s="15">
        <v>128116315</v>
      </c>
      <c r="C34" s="10">
        <v>130748908</v>
      </c>
      <c r="D34" s="11">
        <v>99474057</v>
      </c>
      <c r="E34" s="12">
        <v>29417921</v>
      </c>
      <c r="F34" s="12">
        <v>8155466</v>
      </c>
      <c r="G34" s="10">
        <v>137047444</v>
      </c>
    </row>
    <row r="35" spans="1:7" x14ac:dyDescent="0.2">
      <c r="A35" s="16" t="s">
        <v>37</v>
      </c>
      <c r="B35" s="15">
        <v>6599705</v>
      </c>
      <c r="C35" s="10">
        <v>6873445</v>
      </c>
      <c r="D35" s="11">
        <v>19420</v>
      </c>
      <c r="E35" s="12">
        <v>0</v>
      </c>
      <c r="F35" s="12">
        <v>7127055</v>
      </c>
      <c r="G35" s="10">
        <v>7146475</v>
      </c>
    </row>
    <row r="36" spans="1:7" x14ac:dyDescent="0.2">
      <c r="A36" s="16" t="s">
        <v>38</v>
      </c>
      <c r="B36" s="15">
        <v>4364507</v>
      </c>
      <c r="C36" s="10">
        <v>2703922</v>
      </c>
      <c r="D36" s="11">
        <v>981337</v>
      </c>
      <c r="E36" s="12">
        <v>2280622</v>
      </c>
      <c r="F36" s="12">
        <v>1212114</v>
      </c>
      <c r="G36" s="10">
        <v>4474073</v>
      </c>
    </row>
    <row r="37" spans="1:7" x14ac:dyDescent="0.2">
      <c r="A37" s="16" t="s">
        <v>39</v>
      </c>
      <c r="B37" s="15">
        <v>27441838</v>
      </c>
      <c r="C37" s="10">
        <v>28304127</v>
      </c>
      <c r="D37" s="11">
        <v>27756056</v>
      </c>
      <c r="E37" s="12">
        <v>430183</v>
      </c>
      <c r="F37" s="12">
        <v>59207</v>
      </c>
      <c r="G37" s="10">
        <v>28245446</v>
      </c>
    </row>
    <row r="38" spans="1:7" x14ac:dyDescent="0.2">
      <c r="A38" s="16" t="s">
        <v>40</v>
      </c>
      <c r="B38" s="15">
        <v>18517815</v>
      </c>
      <c r="C38" s="10">
        <v>17826487</v>
      </c>
      <c r="D38" s="11">
        <v>13713746</v>
      </c>
      <c r="E38" s="12">
        <v>6498633</v>
      </c>
      <c r="F38" s="12">
        <v>14613</v>
      </c>
      <c r="G38" s="10">
        <v>20226992</v>
      </c>
    </row>
    <row r="39" spans="1:7" x14ac:dyDescent="0.2">
      <c r="A39" s="16" t="s">
        <v>41</v>
      </c>
      <c r="B39" s="15">
        <v>19776649</v>
      </c>
      <c r="C39" s="10">
        <v>19633377</v>
      </c>
      <c r="D39" s="11">
        <v>17858439</v>
      </c>
      <c r="E39" s="12">
        <v>108208</v>
      </c>
      <c r="F39" s="12">
        <v>3326798</v>
      </c>
      <c r="G39" s="10">
        <v>21293445</v>
      </c>
    </row>
    <row r="40" spans="1:7" x14ac:dyDescent="0.2">
      <c r="A40" s="16" t="s">
        <v>42</v>
      </c>
      <c r="B40" s="15">
        <v>10632715</v>
      </c>
      <c r="C40" s="10">
        <v>10854678</v>
      </c>
      <c r="D40" s="11">
        <v>11261428</v>
      </c>
      <c r="E40" s="12">
        <v>4103</v>
      </c>
      <c r="F40" s="12">
        <v>3032</v>
      </c>
      <c r="G40" s="10">
        <v>11268563</v>
      </c>
    </row>
    <row r="41" spans="1:7" x14ac:dyDescent="0.2">
      <c r="A41" s="16" t="s">
        <v>43</v>
      </c>
      <c r="B41" s="15">
        <v>40053508</v>
      </c>
      <c r="C41" s="10">
        <v>40074637</v>
      </c>
      <c r="D41" s="11">
        <v>11890538</v>
      </c>
      <c r="E41" s="12">
        <v>837958</v>
      </c>
      <c r="F41" s="12">
        <v>28468302</v>
      </c>
      <c r="G41" s="10">
        <v>41196798</v>
      </c>
    </row>
    <row r="42" spans="1:7" x14ac:dyDescent="0.2">
      <c r="A42" s="14" t="s">
        <v>44</v>
      </c>
      <c r="B42" s="15">
        <v>989306</v>
      </c>
      <c r="C42" s="10">
        <v>686445</v>
      </c>
      <c r="D42" s="11">
        <v>0</v>
      </c>
      <c r="E42" s="12">
        <v>552630</v>
      </c>
      <c r="F42" s="12">
        <v>0</v>
      </c>
      <c r="G42" s="10">
        <v>552630</v>
      </c>
    </row>
    <row r="43" spans="1:7" x14ac:dyDescent="0.2">
      <c r="A43" s="14" t="s">
        <v>28</v>
      </c>
      <c r="B43" s="15">
        <v>0</v>
      </c>
      <c r="C43" s="10"/>
      <c r="D43" s="11">
        <v>0</v>
      </c>
      <c r="E43" s="12">
        <v>0</v>
      </c>
      <c r="F43" s="12">
        <v>0</v>
      </c>
      <c r="G43" s="10">
        <v>0</v>
      </c>
    </row>
    <row r="44" spans="1:7" ht="15.75" thickBot="1" x14ac:dyDescent="0.25">
      <c r="A44" s="35" t="s">
        <v>45</v>
      </c>
      <c r="B44" s="15">
        <v>0</v>
      </c>
      <c r="C44" s="10"/>
      <c r="D44" s="11">
        <v>0</v>
      </c>
      <c r="E44" s="26">
        <v>0</v>
      </c>
      <c r="F44" s="12">
        <v>0</v>
      </c>
      <c r="G44" s="10">
        <v>0</v>
      </c>
    </row>
    <row r="45" spans="1:7" s="23" customFormat="1" ht="16.5" thickTop="1" x14ac:dyDescent="0.25">
      <c r="A45" s="28" t="s">
        <v>46</v>
      </c>
      <c r="B45" s="29">
        <v>256492358</v>
      </c>
      <c r="C45" s="30">
        <v>257706026</v>
      </c>
      <c r="D45" s="31">
        <v>182955021</v>
      </c>
      <c r="E45" s="32">
        <v>40130258</v>
      </c>
      <c r="F45" s="33">
        <v>48366587</v>
      </c>
      <c r="G45" s="30">
        <v>271451866</v>
      </c>
    </row>
    <row r="46" spans="1:7" ht="6.75" customHeight="1" x14ac:dyDescent="0.2">
      <c r="A46" s="14"/>
      <c r="B46" s="15"/>
      <c r="C46" s="10"/>
      <c r="D46" s="11"/>
      <c r="E46" s="12"/>
      <c r="F46" s="12"/>
      <c r="G46" s="10"/>
    </row>
    <row r="47" spans="1:7" ht="15.75" x14ac:dyDescent="0.25">
      <c r="A47" s="8" t="s">
        <v>47</v>
      </c>
      <c r="B47" s="9"/>
      <c r="C47" s="10"/>
      <c r="D47" s="11"/>
      <c r="E47" s="12"/>
      <c r="F47" s="12"/>
      <c r="G47" s="10"/>
    </row>
    <row r="48" spans="1:7" x14ac:dyDescent="0.2">
      <c r="A48" s="14" t="s">
        <v>48</v>
      </c>
      <c r="B48" s="15"/>
      <c r="C48" s="10"/>
      <c r="D48" s="11"/>
      <c r="E48" s="12"/>
      <c r="F48" s="12"/>
      <c r="G48" s="10"/>
    </row>
    <row r="49" spans="1:7" x14ac:dyDescent="0.2">
      <c r="A49" s="16" t="s">
        <v>49</v>
      </c>
      <c r="B49" s="15">
        <v>6815630</v>
      </c>
      <c r="C49" s="10">
        <v>6815630</v>
      </c>
      <c r="D49" s="11">
        <v>6734368</v>
      </c>
      <c r="E49" s="12">
        <v>0</v>
      </c>
      <c r="F49" s="12">
        <v>0</v>
      </c>
      <c r="G49" s="10">
        <v>6734368</v>
      </c>
    </row>
    <row r="50" spans="1:7" x14ac:dyDescent="0.2">
      <c r="A50" s="16" t="s">
        <v>50</v>
      </c>
      <c r="B50" s="15">
        <v>0</v>
      </c>
      <c r="C50" s="10">
        <v>0</v>
      </c>
      <c r="D50" s="11">
        <v>0</v>
      </c>
      <c r="E50" s="12">
        <v>0</v>
      </c>
      <c r="F50" s="12">
        <v>0</v>
      </c>
      <c r="G50" s="10">
        <v>0</v>
      </c>
    </row>
    <row r="51" spans="1:7" x14ac:dyDescent="0.2">
      <c r="A51" s="17" t="s">
        <v>51</v>
      </c>
      <c r="B51" s="15">
        <v>0</v>
      </c>
      <c r="C51" s="10">
        <v>0</v>
      </c>
      <c r="D51" s="11">
        <v>0</v>
      </c>
      <c r="E51" s="36">
        <v>0</v>
      </c>
      <c r="F51" s="12">
        <v>0</v>
      </c>
      <c r="G51" s="10">
        <v>0</v>
      </c>
    </row>
    <row r="52" spans="1:7" x14ac:dyDescent="0.2">
      <c r="A52" s="37" t="s">
        <v>52</v>
      </c>
      <c r="B52" s="38">
        <v>6815630</v>
      </c>
      <c r="C52" s="39">
        <v>6815630</v>
      </c>
      <c r="D52" s="40">
        <v>6734368</v>
      </c>
      <c r="E52" s="36">
        <v>0</v>
      </c>
      <c r="F52" s="41">
        <v>0</v>
      </c>
      <c r="G52" s="39">
        <v>6734368</v>
      </c>
    </row>
    <row r="53" spans="1:7" x14ac:dyDescent="0.2">
      <c r="A53" s="14"/>
      <c r="B53" s="15"/>
      <c r="C53" s="10"/>
      <c r="D53" s="11"/>
      <c r="E53" s="12"/>
      <c r="F53" s="12"/>
      <c r="G53" s="10"/>
    </row>
    <row r="54" spans="1:7" x14ac:dyDescent="0.2">
      <c r="A54" s="14" t="s">
        <v>53</v>
      </c>
      <c r="B54" s="15"/>
      <c r="C54" s="10"/>
      <c r="D54" s="11"/>
      <c r="E54" s="12"/>
      <c r="F54" s="12"/>
      <c r="G54" s="10"/>
    </row>
    <row r="55" spans="1:7" x14ac:dyDescent="0.2">
      <c r="A55" s="16" t="s">
        <v>54</v>
      </c>
      <c r="B55" s="15">
        <v>0</v>
      </c>
      <c r="C55" s="10">
        <v>0</v>
      </c>
      <c r="D55" s="11">
        <v>0</v>
      </c>
      <c r="E55" s="12">
        <v>0</v>
      </c>
      <c r="F55" s="12">
        <v>0</v>
      </c>
      <c r="G55" s="10">
        <v>0</v>
      </c>
    </row>
    <row r="56" spans="1:7" x14ac:dyDescent="0.2">
      <c r="A56" s="17" t="s">
        <v>55</v>
      </c>
      <c r="B56" s="42">
        <v>13464713</v>
      </c>
      <c r="C56" s="43">
        <v>9464713</v>
      </c>
      <c r="D56" s="44">
        <v>1799423</v>
      </c>
      <c r="E56" s="36">
        <v>0</v>
      </c>
      <c r="F56" s="36">
        <v>-1914000</v>
      </c>
      <c r="G56" s="43">
        <v>-114577</v>
      </c>
    </row>
    <row r="57" spans="1:7" ht="15.75" thickBot="1" x14ac:dyDescent="0.25">
      <c r="A57" s="45" t="s">
        <v>56</v>
      </c>
      <c r="B57" s="46">
        <v>13464713</v>
      </c>
      <c r="C57" s="47">
        <v>9464713</v>
      </c>
      <c r="D57" s="48">
        <v>1799423</v>
      </c>
      <c r="E57" s="26">
        <v>0</v>
      </c>
      <c r="F57" s="26">
        <v>-1914000</v>
      </c>
      <c r="G57" s="49">
        <v>-114577</v>
      </c>
    </row>
    <row r="58" spans="1:7" s="23" customFormat="1" ht="17.25" thickTop="1" thickBot="1" x14ac:dyDescent="0.3">
      <c r="A58" s="50" t="s">
        <v>57</v>
      </c>
      <c r="B58" s="179">
        <v>276772701</v>
      </c>
      <c r="C58" s="180">
        <v>273986369</v>
      </c>
      <c r="D58" s="181">
        <v>191488812</v>
      </c>
      <c r="E58" s="182">
        <v>40130258</v>
      </c>
      <c r="F58" s="182">
        <v>46452587</v>
      </c>
      <c r="G58" s="180">
        <v>278071657</v>
      </c>
    </row>
    <row r="59" spans="1:7" ht="6.75" customHeight="1" x14ac:dyDescent="0.2">
      <c r="A59" s="14"/>
      <c r="B59" s="15"/>
      <c r="C59" s="10"/>
      <c r="D59" s="11"/>
      <c r="E59" s="12"/>
      <c r="F59" s="12"/>
      <c r="G59" s="10"/>
    </row>
    <row r="60" spans="1:7" ht="18" customHeight="1" thickBot="1" x14ac:dyDescent="0.25">
      <c r="A60" s="53" t="s">
        <v>58</v>
      </c>
      <c r="B60" s="54">
        <v>0</v>
      </c>
      <c r="C60" s="55">
        <v>0</v>
      </c>
      <c r="D60" s="56">
        <v>0</v>
      </c>
      <c r="E60" s="57">
        <v>0</v>
      </c>
      <c r="F60" s="57">
        <v>0</v>
      </c>
      <c r="G60" s="55">
        <v>0</v>
      </c>
    </row>
    <row r="62" spans="1:7" x14ac:dyDescent="0.2">
      <c r="A62" s="90" t="s">
        <v>76</v>
      </c>
      <c r="B62" s="58"/>
      <c r="C62" s="59"/>
    </row>
    <row r="63" spans="1:7" x14ac:dyDescent="0.2">
      <c r="A63" s="208">
        <v>42530</v>
      </c>
      <c r="B63" s="62"/>
      <c r="C63" s="61"/>
    </row>
    <row r="64" spans="1:7" x14ac:dyDescent="0.2">
      <c r="A64" s="63"/>
      <c r="B64" s="64"/>
      <c r="C64" s="63"/>
    </row>
    <row r="65" spans="1:7" x14ac:dyDescent="0.2">
      <c r="A65" s="63"/>
      <c r="B65" s="64"/>
      <c r="C65" s="63"/>
      <c r="D65" s="2"/>
      <c r="E65" s="34"/>
      <c r="F65" s="34"/>
      <c r="G65" s="2"/>
    </row>
    <row r="66" spans="1:7" x14ac:dyDescent="0.2">
      <c r="A66" s="63"/>
      <c r="B66" s="64"/>
      <c r="C66" s="63"/>
      <c r="D66" s="2"/>
      <c r="E66" s="2"/>
      <c r="F66" s="2"/>
      <c r="G66" s="2"/>
    </row>
    <row r="67" spans="1:7" x14ac:dyDescent="0.2">
      <c r="A67" s="63"/>
      <c r="B67" s="64"/>
      <c r="C67" s="63"/>
      <c r="D67" s="2"/>
      <c r="E67" s="2"/>
      <c r="F67" s="2"/>
      <c r="G67" s="2"/>
    </row>
    <row r="68" spans="1:7" x14ac:dyDescent="0.2">
      <c r="A68" s="63"/>
      <c r="B68" s="64"/>
      <c r="C68" s="63"/>
      <c r="D68" s="2"/>
      <c r="E68" s="2"/>
      <c r="F68" s="2"/>
      <c r="G68" s="2"/>
    </row>
  </sheetData>
  <mergeCells count="3">
    <mergeCell ref="A5:A6"/>
    <mergeCell ref="B5:C5"/>
    <mergeCell ref="D5:G5"/>
  </mergeCells>
  <pageMargins left="0.25" right="0.25" top="0.25" bottom="0.25" header="0.3" footer="0.3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workbookViewId="0">
      <selection activeCell="A62" sqref="A62"/>
    </sheetView>
  </sheetViews>
  <sheetFormatPr defaultColWidth="9.140625" defaultRowHeight="15" x14ac:dyDescent="0.2"/>
  <cols>
    <col min="1" max="1" width="51.7109375" style="2" customWidth="1"/>
    <col min="2" max="2" width="17.7109375" style="84" customWidth="1"/>
    <col min="3" max="3" width="17.7109375" style="2" customWidth="1"/>
    <col min="4" max="7" width="17.7109375" style="60" customWidth="1"/>
    <col min="8" max="8" width="9.140625" style="2"/>
    <col min="9" max="9" width="14.85546875" style="2" bestFit="1" customWidth="1"/>
    <col min="10" max="11" width="9.140625" style="2"/>
    <col min="12" max="12" width="14.5703125" style="2" customWidth="1"/>
    <col min="13" max="16384" width="9.140625" style="2"/>
  </cols>
  <sheetData>
    <row r="1" spans="1:7" ht="15.75" x14ac:dyDescent="0.25">
      <c r="A1" s="1" t="s">
        <v>77</v>
      </c>
      <c r="B1" s="1"/>
      <c r="C1" s="1"/>
      <c r="D1" s="1"/>
      <c r="E1" s="1"/>
      <c r="F1" s="1"/>
      <c r="G1" s="1"/>
    </row>
    <row r="2" spans="1:7" ht="15.75" x14ac:dyDescent="0.25">
      <c r="A2" s="1" t="s">
        <v>0</v>
      </c>
      <c r="B2" s="1"/>
      <c r="C2" s="1"/>
      <c r="D2" s="1"/>
      <c r="E2" s="1"/>
      <c r="F2" s="1"/>
      <c r="G2" s="1"/>
    </row>
    <row r="3" spans="1:7" x14ac:dyDescent="0.2">
      <c r="A3" s="3" t="s">
        <v>59</v>
      </c>
      <c r="B3" s="3"/>
      <c r="C3" s="3"/>
      <c r="D3" s="3"/>
      <c r="E3" s="3"/>
      <c r="F3" s="3"/>
      <c r="G3" s="3"/>
    </row>
    <row r="4" spans="1:7" ht="15.75" thickBot="1" x14ac:dyDescent="0.25">
      <c r="A4" s="4"/>
      <c r="B4" s="66"/>
      <c r="C4" s="4"/>
      <c r="D4" s="4"/>
      <c r="E4" s="4"/>
      <c r="F4" s="4"/>
      <c r="G4" s="4"/>
    </row>
    <row r="5" spans="1:7" ht="15.75" customHeight="1" thickBot="1" x14ac:dyDescent="0.3">
      <c r="A5" s="209" t="s">
        <v>2</v>
      </c>
      <c r="B5" s="211" t="s">
        <v>3</v>
      </c>
      <c r="C5" s="212"/>
      <c r="D5" s="213" t="s">
        <v>73</v>
      </c>
      <c r="E5" s="214"/>
      <c r="F5" s="214"/>
      <c r="G5" s="215"/>
    </row>
    <row r="6" spans="1:7" s="7" customFormat="1" ht="48" thickBot="1" x14ac:dyDescent="0.3">
      <c r="A6" s="210"/>
      <c r="B6" s="6" t="s">
        <v>4</v>
      </c>
      <c r="C6" s="6" t="s">
        <v>5</v>
      </c>
      <c r="D6" s="163" t="s">
        <v>6</v>
      </c>
      <c r="E6" s="164" t="s">
        <v>7</v>
      </c>
      <c r="F6" s="164" t="s">
        <v>8</v>
      </c>
      <c r="G6" s="165" t="s">
        <v>9</v>
      </c>
    </row>
    <row r="7" spans="1:7" ht="15.75" x14ac:dyDescent="0.25">
      <c r="A7" s="8" t="s">
        <v>10</v>
      </c>
      <c r="B7" s="67"/>
      <c r="C7" s="10"/>
      <c r="D7" s="11"/>
      <c r="E7" s="12"/>
      <c r="F7" s="12"/>
      <c r="G7" s="13"/>
    </row>
    <row r="8" spans="1:7" ht="15" customHeight="1" x14ac:dyDescent="0.2">
      <c r="A8" s="14" t="s">
        <v>11</v>
      </c>
      <c r="B8" s="68"/>
      <c r="C8" s="10"/>
      <c r="D8" s="11"/>
      <c r="E8" s="12"/>
      <c r="F8" s="12"/>
      <c r="G8" s="10"/>
    </row>
    <row r="9" spans="1:7" x14ac:dyDescent="0.2">
      <c r="A9" s="16" t="s">
        <v>12</v>
      </c>
      <c r="B9" s="69">
        <v>1254864</v>
      </c>
      <c r="C9" s="10">
        <v>1254864</v>
      </c>
      <c r="D9" s="11">
        <v>1273551</v>
      </c>
      <c r="E9" s="12">
        <v>0</v>
      </c>
      <c r="F9" s="12">
        <v>0</v>
      </c>
      <c r="G9" s="10">
        <v>1273551</v>
      </c>
    </row>
    <row r="10" spans="1:7" x14ac:dyDescent="0.2">
      <c r="A10" s="16" t="s">
        <v>13</v>
      </c>
      <c r="B10" s="69">
        <v>60216069</v>
      </c>
      <c r="C10" s="24">
        <v>61212361</v>
      </c>
      <c r="D10" s="11">
        <v>62137545</v>
      </c>
      <c r="E10" s="12">
        <v>0</v>
      </c>
      <c r="F10" s="12">
        <v>0</v>
      </c>
      <c r="G10" s="10">
        <v>62137545</v>
      </c>
    </row>
    <row r="11" spans="1:7" x14ac:dyDescent="0.2">
      <c r="A11" s="16" t="s">
        <v>14</v>
      </c>
      <c r="B11" s="69">
        <v>22263381</v>
      </c>
      <c r="C11" s="24">
        <v>21036582</v>
      </c>
      <c r="D11" s="11">
        <v>23565174</v>
      </c>
      <c r="E11" s="12">
        <v>0</v>
      </c>
      <c r="F11" s="12">
        <v>0</v>
      </c>
      <c r="G11" s="10">
        <v>23565174</v>
      </c>
    </row>
    <row r="12" spans="1:7" x14ac:dyDescent="0.2">
      <c r="A12" s="16" t="s">
        <v>15</v>
      </c>
      <c r="B12" s="69">
        <v>11933030</v>
      </c>
      <c r="C12" s="10">
        <v>11500882</v>
      </c>
      <c r="D12" s="11">
        <v>0</v>
      </c>
      <c r="E12" s="12">
        <v>12647360</v>
      </c>
      <c r="F12" s="12">
        <v>0</v>
      </c>
      <c r="G12" s="10">
        <v>12647360</v>
      </c>
    </row>
    <row r="13" spans="1:7" x14ac:dyDescent="0.2">
      <c r="A13" s="17" t="s">
        <v>16</v>
      </c>
      <c r="B13" s="69">
        <v>12057224</v>
      </c>
      <c r="C13" s="10">
        <v>12544912</v>
      </c>
      <c r="D13" s="11">
        <v>10085202</v>
      </c>
      <c r="E13" s="12">
        <v>2077451</v>
      </c>
      <c r="F13" s="12">
        <v>0</v>
      </c>
      <c r="G13" s="10">
        <v>12162653</v>
      </c>
    </row>
    <row r="14" spans="1:7" s="23" customFormat="1" ht="15.75" x14ac:dyDescent="0.25">
      <c r="A14" s="18" t="s">
        <v>17</v>
      </c>
      <c r="B14" s="70">
        <v>107724568</v>
      </c>
      <c r="C14" s="20">
        <v>107549601</v>
      </c>
      <c r="D14" s="21">
        <v>97061472</v>
      </c>
      <c r="E14" s="22">
        <v>14724811</v>
      </c>
      <c r="F14" s="22">
        <v>0</v>
      </c>
      <c r="G14" s="20">
        <v>111786283</v>
      </c>
    </row>
    <row r="15" spans="1:7" x14ac:dyDescent="0.2">
      <c r="A15" s="14" t="s">
        <v>18</v>
      </c>
      <c r="B15" s="68">
        <v>9015361</v>
      </c>
      <c r="C15" s="10">
        <v>7691161</v>
      </c>
      <c r="D15" s="11">
        <v>0</v>
      </c>
      <c r="E15" s="12">
        <v>7714954</v>
      </c>
      <c r="F15" s="12">
        <v>0</v>
      </c>
      <c r="G15" s="10">
        <v>7714954</v>
      </c>
    </row>
    <row r="16" spans="1:7" x14ac:dyDescent="0.2">
      <c r="A16" s="14" t="s">
        <v>19</v>
      </c>
      <c r="B16" s="68"/>
      <c r="C16" s="10"/>
      <c r="D16" s="11">
        <v>0</v>
      </c>
      <c r="E16" s="12">
        <v>0</v>
      </c>
      <c r="F16" s="12">
        <v>0</v>
      </c>
      <c r="G16" s="10"/>
    </row>
    <row r="17" spans="1:7" x14ac:dyDescent="0.2">
      <c r="A17" s="16" t="s">
        <v>20</v>
      </c>
      <c r="B17" s="69">
        <v>202573742</v>
      </c>
      <c r="C17" s="10">
        <v>200870737</v>
      </c>
      <c r="D17" s="11">
        <v>0</v>
      </c>
      <c r="E17" s="12">
        <v>0</v>
      </c>
      <c r="F17" s="12">
        <v>215443141</v>
      </c>
      <c r="G17" s="10">
        <v>215443141</v>
      </c>
    </row>
    <row r="18" spans="1:7" x14ac:dyDescent="0.2">
      <c r="A18" s="16" t="s">
        <v>21</v>
      </c>
      <c r="B18" s="69">
        <v>24257871</v>
      </c>
      <c r="C18" s="10">
        <v>21972801</v>
      </c>
      <c r="D18" s="11">
        <v>0</v>
      </c>
      <c r="E18" s="12">
        <v>0</v>
      </c>
      <c r="F18" s="12">
        <v>24546821</v>
      </c>
      <c r="G18" s="10">
        <v>24546821</v>
      </c>
    </row>
    <row r="19" spans="1:7" x14ac:dyDescent="0.2">
      <c r="A19" s="16" t="s">
        <v>22</v>
      </c>
      <c r="B19" s="69">
        <v>12500677</v>
      </c>
      <c r="C19" s="10">
        <v>12428440</v>
      </c>
      <c r="D19" s="11">
        <v>15325373</v>
      </c>
      <c r="E19" s="12">
        <v>0</v>
      </c>
      <c r="F19" s="12">
        <v>0</v>
      </c>
      <c r="G19" s="10">
        <v>15325373</v>
      </c>
    </row>
    <row r="20" spans="1:7" x14ac:dyDescent="0.2">
      <c r="A20" s="17" t="s">
        <v>23</v>
      </c>
      <c r="B20" s="69">
        <v>62596921</v>
      </c>
      <c r="C20" s="10">
        <v>62596921</v>
      </c>
      <c r="D20" s="11">
        <v>62621921</v>
      </c>
      <c r="E20" s="12">
        <v>0</v>
      </c>
      <c r="F20" s="12">
        <v>0</v>
      </c>
      <c r="G20" s="10">
        <v>62621921</v>
      </c>
    </row>
    <row r="21" spans="1:7" s="23" customFormat="1" ht="15.75" x14ac:dyDescent="0.25">
      <c r="A21" s="18" t="s">
        <v>24</v>
      </c>
      <c r="B21" s="70">
        <v>310944572</v>
      </c>
      <c r="C21" s="20">
        <v>305560060</v>
      </c>
      <c r="D21" s="21">
        <v>77947294</v>
      </c>
      <c r="E21" s="22">
        <v>7714954</v>
      </c>
      <c r="F21" s="22">
        <v>239989962</v>
      </c>
      <c r="G21" s="20">
        <v>325652210</v>
      </c>
    </row>
    <row r="22" spans="1:7" x14ac:dyDescent="0.2">
      <c r="A22" s="14" t="s">
        <v>25</v>
      </c>
      <c r="B22" s="68">
        <v>137194561</v>
      </c>
      <c r="C22" s="10">
        <v>151413173</v>
      </c>
      <c r="D22" s="71">
        <v>0</v>
      </c>
      <c r="E22" s="178">
        <v>0</v>
      </c>
      <c r="F22" s="12">
        <v>151037147</v>
      </c>
      <c r="G22" s="10">
        <v>151037147</v>
      </c>
    </row>
    <row r="23" spans="1:7" x14ac:dyDescent="0.2">
      <c r="A23" s="14" t="s">
        <v>26</v>
      </c>
      <c r="B23" s="68">
        <v>153414249</v>
      </c>
      <c r="C23" s="10">
        <v>152740769</v>
      </c>
      <c r="D23" s="11">
        <v>0</v>
      </c>
      <c r="E23" s="12">
        <v>154679577</v>
      </c>
      <c r="F23" s="12">
        <v>0</v>
      </c>
      <c r="G23" s="24">
        <v>154679577</v>
      </c>
    </row>
    <row r="24" spans="1:7" x14ac:dyDescent="0.2">
      <c r="A24" s="14" t="s">
        <v>27</v>
      </c>
      <c r="B24" s="68">
        <v>17233259</v>
      </c>
      <c r="C24" s="10">
        <v>16826815</v>
      </c>
      <c r="D24" s="11">
        <v>0</v>
      </c>
      <c r="E24" s="12">
        <v>17313959</v>
      </c>
      <c r="F24" s="12">
        <v>0</v>
      </c>
      <c r="G24" s="10">
        <v>17313959</v>
      </c>
    </row>
    <row r="25" spans="1:7" x14ac:dyDescent="0.2">
      <c r="A25" s="14" t="s">
        <v>28</v>
      </c>
      <c r="B25" s="68">
        <v>738380984</v>
      </c>
      <c r="C25" s="10">
        <v>764938242</v>
      </c>
      <c r="D25" s="11">
        <v>2170000</v>
      </c>
      <c r="E25" s="169">
        <v>850287582</v>
      </c>
      <c r="F25" s="12">
        <v>0</v>
      </c>
      <c r="G25" s="10">
        <v>852457582</v>
      </c>
    </row>
    <row r="26" spans="1:7" x14ac:dyDescent="0.2">
      <c r="A26" s="14" t="s">
        <v>29</v>
      </c>
      <c r="B26" s="68"/>
      <c r="C26" s="10"/>
      <c r="D26" s="11"/>
      <c r="E26" s="12"/>
      <c r="F26" s="12"/>
      <c r="G26" s="10"/>
    </row>
    <row r="27" spans="1:7" x14ac:dyDescent="0.2">
      <c r="A27" s="16" t="s">
        <v>30</v>
      </c>
      <c r="B27" s="69">
        <v>76931200</v>
      </c>
      <c r="C27" s="10">
        <v>82953118</v>
      </c>
      <c r="D27" s="11">
        <v>67060525</v>
      </c>
      <c r="E27" s="12">
        <v>15658770</v>
      </c>
      <c r="F27" s="12">
        <v>0</v>
      </c>
      <c r="G27" s="10">
        <v>82719295</v>
      </c>
    </row>
    <row r="28" spans="1:7" x14ac:dyDescent="0.2">
      <c r="A28" s="16" t="s">
        <v>31</v>
      </c>
      <c r="B28" s="69">
        <v>0</v>
      </c>
      <c r="C28" s="10"/>
      <c r="D28" s="11">
        <v>0</v>
      </c>
      <c r="E28" s="12">
        <v>0</v>
      </c>
      <c r="F28" s="12">
        <v>0</v>
      </c>
      <c r="G28" s="10">
        <v>0</v>
      </c>
    </row>
    <row r="29" spans="1:7" ht="15.75" thickBot="1" x14ac:dyDescent="0.25">
      <c r="A29" s="25" t="s">
        <v>32</v>
      </c>
      <c r="B29" s="69">
        <v>39216897</v>
      </c>
      <c r="C29" s="10">
        <v>37623012</v>
      </c>
      <c r="D29" s="11">
        <v>21124933</v>
      </c>
      <c r="E29" s="26">
        <v>11844140</v>
      </c>
      <c r="F29" s="12">
        <v>0</v>
      </c>
      <c r="G29" s="27">
        <v>32969073</v>
      </c>
    </row>
    <row r="30" spans="1:7" s="23" customFormat="1" ht="16.5" thickTop="1" x14ac:dyDescent="0.25">
      <c r="A30" s="28" t="s">
        <v>33</v>
      </c>
      <c r="B30" s="72">
        <v>1581040290</v>
      </c>
      <c r="C30" s="30">
        <v>1619604790</v>
      </c>
      <c r="D30" s="31">
        <v>265364224</v>
      </c>
      <c r="E30" s="32">
        <v>1072223793</v>
      </c>
      <c r="F30" s="33">
        <v>391027109</v>
      </c>
      <c r="G30" s="30">
        <v>1728615126</v>
      </c>
    </row>
    <row r="31" spans="1:7" ht="8.25" customHeight="1" x14ac:dyDescent="0.2">
      <c r="A31" s="14"/>
      <c r="B31" s="68"/>
      <c r="C31" s="10"/>
      <c r="D31" s="11"/>
      <c r="E31" s="12"/>
      <c r="F31" s="12"/>
      <c r="G31" s="10"/>
    </row>
    <row r="32" spans="1:7" ht="15.75" x14ac:dyDescent="0.25">
      <c r="A32" s="8" t="s">
        <v>34</v>
      </c>
      <c r="B32" s="67"/>
      <c r="C32" s="10"/>
      <c r="D32" s="11"/>
      <c r="E32" s="12"/>
      <c r="F32" s="12"/>
      <c r="G32" s="10"/>
    </row>
    <row r="33" spans="1:7" x14ac:dyDescent="0.2">
      <c r="A33" s="14" t="s">
        <v>35</v>
      </c>
      <c r="B33" s="68"/>
      <c r="C33" s="10"/>
      <c r="D33" s="11"/>
      <c r="E33" s="12"/>
      <c r="F33" s="12"/>
      <c r="G33" s="10"/>
    </row>
    <row r="34" spans="1:7" x14ac:dyDescent="0.2">
      <c r="A34" s="16" t="s">
        <v>36</v>
      </c>
      <c r="B34" s="69">
        <v>344699539</v>
      </c>
      <c r="C34" s="10">
        <v>351822890</v>
      </c>
      <c r="D34" s="11">
        <v>113128279</v>
      </c>
      <c r="E34" s="12">
        <v>138440388</v>
      </c>
      <c r="F34" s="12">
        <v>107053156</v>
      </c>
      <c r="G34" s="10">
        <v>358621823</v>
      </c>
    </row>
    <row r="35" spans="1:7" x14ac:dyDescent="0.2">
      <c r="A35" s="16" t="s">
        <v>37</v>
      </c>
      <c r="B35" s="69">
        <v>226069046</v>
      </c>
      <c r="C35" s="10">
        <v>246885520</v>
      </c>
      <c r="D35" s="11">
        <v>0</v>
      </c>
      <c r="E35" s="12">
        <v>85278</v>
      </c>
      <c r="F35" s="12">
        <v>243801227</v>
      </c>
      <c r="G35" s="10">
        <v>243886505</v>
      </c>
    </row>
    <row r="36" spans="1:7" x14ac:dyDescent="0.2">
      <c r="A36" s="16" t="s">
        <v>38</v>
      </c>
      <c r="B36" s="69">
        <v>86063267</v>
      </c>
      <c r="C36" s="10">
        <v>93385602</v>
      </c>
      <c r="D36" s="11">
        <v>0</v>
      </c>
      <c r="E36" s="12">
        <v>70187742</v>
      </c>
      <c r="F36" s="12">
        <v>27018588</v>
      </c>
      <c r="G36" s="10">
        <v>97206330</v>
      </c>
    </row>
    <row r="37" spans="1:7" x14ac:dyDescent="0.2">
      <c r="A37" s="16" t="s">
        <v>39</v>
      </c>
      <c r="B37" s="69">
        <v>29775027</v>
      </c>
      <c r="C37" s="10">
        <v>44495283</v>
      </c>
      <c r="D37" s="11">
        <v>36081737</v>
      </c>
      <c r="E37" s="12">
        <v>0</v>
      </c>
      <c r="F37" s="12">
        <v>19353</v>
      </c>
      <c r="G37" s="10">
        <v>36101090</v>
      </c>
    </row>
    <row r="38" spans="1:7" x14ac:dyDescent="0.2">
      <c r="A38" s="16" t="s">
        <v>40</v>
      </c>
      <c r="B38" s="69">
        <v>3751812</v>
      </c>
      <c r="C38" s="10">
        <v>3383652</v>
      </c>
      <c r="D38" s="11">
        <v>2463700</v>
      </c>
      <c r="E38" s="12">
        <v>991240</v>
      </c>
      <c r="F38" s="12">
        <v>30162</v>
      </c>
      <c r="G38" s="10">
        <v>3485102</v>
      </c>
    </row>
    <row r="39" spans="1:7" x14ac:dyDescent="0.2">
      <c r="A39" s="16" t="s">
        <v>41</v>
      </c>
      <c r="B39" s="69">
        <v>33558123</v>
      </c>
      <c r="C39" s="10">
        <v>34202182</v>
      </c>
      <c r="D39" s="11">
        <v>28379970</v>
      </c>
      <c r="E39" s="12">
        <v>370865</v>
      </c>
      <c r="F39" s="12">
        <v>5842399</v>
      </c>
      <c r="G39" s="10">
        <v>34593234</v>
      </c>
    </row>
    <row r="40" spans="1:7" x14ac:dyDescent="0.2">
      <c r="A40" s="16" t="s">
        <v>42</v>
      </c>
      <c r="B40" s="69">
        <v>46382078</v>
      </c>
      <c r="C40" s="10">
        <v>41507000</v>
      </c>
      <c r="D40" s="11">
        <v>19224591</v>
      </c>
      <c r="E40" s="12">
        <v>19836545</v>
      </c>
      <c r="F40" s="12">
        <v>1456999</v>
      </c>
      <c r="G40" s="10">
        <v>40518135</v>
      </c>
    </row>
    <row r="41" spans="1:7" x14ac:dyDescent="0.2">
      <c r="A41" s="16" t="s">
        <v>43</v>
      </c>
      <c r="B41" s="69">
        <v>9614069</v>
      </c>
      <c r="C41" s="10">
        <v>13963507</v>
      </c>
      <c r="D41" s="11">
        <v>1841606</v>
      </c>
      <c r="E41" s="12">
        <v>111390</v>
      </c>
      <c r="F41" s="12">
        <v>11460170</v>
      </c>
      <c r="G41" s="10">
        <v>13413166</v>
      </c>
    </row>
    <row r="42" spans="1:7" x14ac:dyDescent="0.2">
      <c r="A42" s="14" t="s">
        <v>44</v>
      </c>
      <c r="B42" s="68">
        <v>17554809</v>
      </c>
      <c r="C42" s="10">
        <v>15884247</v>
      </c>
      <c r="D42" s="71">
        <v>0</v>
      </c>
      <c r="E42" s="12">
        <v>17484156</v>
      </c>
      <c r="F42" s="12">
        <v>0</v>
      </c>
      <c r="G42" s="10">
        <v>17484156</v>
      </c>
    </row>
    <row r="43" spans="1:7" x14ac:dyDescent="0.2">
      <c r="A43" s="14" t="s">
        <v>28</v>
      </c>
      <c r="B43" s="68">
        <v>692170626</v>
      </c>
      <c r="C43" s="10">
        <v>682673013</v>
      </c>
      <c r="D43" s="71">
        <v>14798693</v>
      </c>
      <c r="E43" s="12">
        <v>797104186</v>
      </c>
      <c r="F43" s="12">
        <v>248055</v>
      </c>
      <c r="G43" s="10">
        <v>812150934</v>
      </c>
    </row>
    <row r="44" spans="1:7" ht="15.75" thickBot="1" x14ac:dyDescent="0.25">
      <c r="A44" s="35" t="s">
        <v>45</v>
      </c>
      <c r="B44" s="68">
        <v>0</v>
      </c>
      <c r="C44" s="10"/>
      <c r="D44" s="11"/>
      <c r="E44" s="26"/>
      <c r="F44" s="12"/>
      <c r="G44" s="10">
        <v>0</v>
      </c>
    </row>
    <row r="45" spans="1:7" s="23" customFormat="1" ht="16.5" thickTop="1" x14ac:dyDescent="0.25">
      <c r="A45" s="28" t="s">
        <v>46</v>
      </c>
      <c r="B45" s="72">
        <v>1489638396</v>
      </c>
      <c r="C45" s="30">
        <v>1528202896</v>
      </c>
      <c r="D45" s="31">
        <v>215918576</v>
      </c>
      <c r="E45" s="32">
        <v>1044611790</v>
      </c>
      <c r="F45" s="33">
        <v>396930109</v>
      </c>
      <c r="G45" s="30">
        <v>1657460475</v>
      </c>
    </row>
    <row r="46" spans="1:7" ht="6.75" customHeight="1" x14ac:dyDescent="0.2">
      <c r="A46" s="14"/>
      <c r="B46" s="68"/>
      <c r="C46" s="10"/>
      <c r="D46" s="11"/>
      <c r="E46" s="12"/>
      <c r="F46" s="12"/>
      <c r="G46" s="10"/>
    </row>
    <row r="47" spans="1:7" ht="15.75" x14ac:dyDescent="0.25">
      <c r="A47" s="8" t="s">
        <v>47</v>
      </c>
      <c r="B47" s="67"/>
      <c r="C47" s="10"/>
      <c r="D47" s="11"/>
      <c r="E47" s="12"/>
      <c r="F47" s="12"/>
      <c r="G47" s="10"/>
    </row>
    <row r="48" spans="1:7" x14ac:dyDescent="0.2">
      <c r="A48" s="14" t="s">
        <v>48</v>
      </c>
      <c r="B48" s="68"/>
      <c r="C48" s="10"/>
      <c r="D48" s="11"/>
      <c r="E48" s="12"/>
      <c r="F48" s="12"/>
      <c r="G48" s="10"/>
    </row>
    <row r="49" spans="1:7" x14ac:dyDescent="0.2">
      <c r="A49" s="16" t="s">
        <v>49</v>
      </c>
      <c r="B49" s="69">
        <v>32357462</v>
      </c>
      <c r="C49" s="15">
        <v>32357462</v>
      </c>
      <c r="D49" s="11">
        <v>4774888</v>
      </c>
      <c r="E49" s="12">
        <v>27612003</v>
      </c>
      <c r="F49" s="12">
        <v>0</v>
      </c>
      <c r="G49" s="10">
        <v>32386891</v>
      </c>
    </row>
    <row r="50" spans="1:7" x14ac:dyDescent="0.2">
      <c r="A50" s="16" t="s">
        <v>50</v>
      </c>
      <c r="B50" s="69">
        <v>0</v>
      </c>
      <c r="C50" s="10">
        <v>0</v>
      </c>
      <c r="D50" s="11">
        <v>0</v>
      </c>
      <c r="E50" s="12">
        <v>0</v>
      </c>
      <c r="F50" s="12">
        <v>0</v>
      </c>
      <c r="G50" s="10">
        <v>0</v>
      </c>
    </row>
    <row r="51" spans="1:7" x14ac:dyDescent="0.2">
      <c r="A51" s="17" t="s">
        <v>51</v>
      </c>
      <c r="B51" s="69">
        <v>0</v>
      </c>
      <c r="C51" s="10">
        <v>0</v>
      </c>
      <c r="D51" s="11">
        <v>0</v>
      </c>
      <c r="E51" s="36">
        <v>0</v>
      </c>
      <c r="F51" s="12">
        <v>0</v>
      </c>
      <c r="G51" s="10">
        <v>0</v>
      </c>
    </row>
    <row r="52" spans="1:7" x14ac:dyDescent="0.2">
      <c r="A52" s="37" t="s">
        <v>52</v>
      </c>
      <c r="B52" s="73">
        <v>32357462</v>
      </c>
      <c r="C52" s="39">
        <v>32357462</v>
      </c>
      <c r="D52" s="40">
        <v>4774888</v>
      </c>
      <c r="E52" s="36">
        <v>27612003</v>
      </c>
      <c r="F52" s="41">
        <v>0</v>
      </c>
      <c r="G52" s="39">
        <v>32386891</v>
      </c>
    </row>
    <row r="53" spans="1:7" x14ac:dyDescent="0.2">
      <c r="A53" s="14"/>
      <c r="B53" s="68"/>
      <c r="C53" s="10"/>
      <c r="D53" s="11"/>
      <c r="E53" s="12"/>
      <c r="F53" s="12"/>
      <c r="G53" s="10"/>
    </row>
    <row r="54" spans="1:7" x14ac:dyDescent="0.2">
      <c r="A54" s="14" t="s">
        <v>53</v>
      </c>
      <c r="B54" s="68"/>
      <c r="C54" s="10"/>
      <c r="D54" s="11"/>
      <c r="E54" s="12"/>
      <c r="F54" s="12"/>
      <c r="G54" s="10"/>
    </row>
    <row r="55" spans="1:7" x14ac:dyDescent="0.2">
      <c r="A55" s="16" t="s">
        <v>54</v>
      </c>
      <c r="B55" s="69">
        <v>0</v>
      </c>
      <c r="C55" s="10">
        <v>0</v>
      </c>
      <c r="D55" s="11">
        <v>0</v>
      </c>
      <c r="E55" s="12">
        <v>0</v>
      </c>
      <c r="F55" s="12">
        <v>0</v>
      </c>
      <c r="G55" s="10">
        <v>0</v>
      </c>
    </row>
    <row r="56" spans="1:7" x14ac:dyDescent="0.2">
      <c r="A56" s="17" t="s">
        <v>55</v>
      </c>
      <c r="B56" s="74">
        <v>59044432</v>
      </c>
      <c r="C56" s="42">
        <v>59044432</v>
      </c>
      <c r="D56" s="44">
        <v>44670760</v>
      </c>
      <c r="E56" s="36">
        <v>0</v>
      </c>
      <c r="F56" s="36">
        <v>-5903000</v>
      </c>
      <c r="G56" s="43">
        <v>38767760</v>
      </c>
    </row>
    <row r="57" spans="1:7" ht="15.75" thickBot="1" x14ac:dyDescent="0.25">
      <c r="A57" s="45" t="s">
        <v>56</v>
      </c>
      <c r="B57" s="75">
        <v>59044432</v>
      </c>
      <c r="C57" s="47">
        <v>59044432</v>
      </c>
      <c r="D57" s="48">
        <v>44670760</v>
      </c>
      <c r="E57" s="26">
        <v>0</v>
      </c>
      <c r="F57" s="26">
        <v>-5903000</v>
      </c>
      <c r="G57" s="49">
        <v>38767760</v>
      </c>
    </row>
    <row r="58" spans="1:7" s="23" customFormat="1" ht="16.5" thickTop="1" x14ac:dyDescent="0.25">
      <c r="A58" s="50" t="s">
        <v>57</v>
      </c>
      <c r="B58" s="76">
        <v>1581040290</v>
      </c>
      <c r="C58" s="51">
        <v>1619604790</v>
      </c>
      <c r="D58" s="52">
        <v>265364224</v>
      </c>
      <c r="E58" s="32">
        <v>1072223793</v>
      </c>
      <c r="F58" s="32">
        <v>391027109</v>
      </c>
      <c r="G58" s="51">
        <v>1728615126</v>
      </c>
    </row>
    <row r="59" spans="1:7" ht="6.75" customHeight="1" x14ac:dyDescent="0.2">
      <c r="A59" s="14"/>
      <c r="B59" s="68"/>
      <c r="C59" s="10"/>
      <c r="D59" s="11"/>
      <c r="E59" s="12"/>
      <c r="F59" s="12"/>
      <c r="G59" s="10"/>
    </row>
    <row r="60" spans="1:7" ht="18" customHeight="1" thickBot="1" x14ac:dyDescent="0.25">
      <c r="A60" s="53" t="s">
        <v>58</v>
      </c>
      <c r="B60" s="77">
        <v>0</v>
      </c>
      <c r="C60" s="78">
        <v>0</v>
      </c>
      <c r="D60" s="79">
        <v>0</v>
      </c>
      <c r="E60" s="80">
        <v>0</v>
      </c>
      <c r="F60" s="80">
        <v>0</v>
      </c>
      <c r="G60" s="78">
        <v>0</v>
      </c>
    </row>
    <row r="62" spans="1:7" x14ac:dyDescent="0.2">
      <c r="A62" s="90" t="s">
        <v>76</v>
      </c>
      <c r="B62" s="81"/>
      <c r="C62" s="59"/>
    </row>
    <row r="63" spans="1:7" x14ac:dyDescent="0.2">
      <c r="A63" s="208">
        <v>42550</v>
      </c>
      <c r="B63" s="82"/>
      <c r="C63" s="61"/>
    </row>
    <row r="64" spans="1:7" x14ac:dyDescent="0.2">
      <c r="A64" s="63"/>
      <c r="B64" s="83"/>
      <c r="C64" s="63"/>
    </row>
    <row r="65" spans="1:7" x14ac:dyDescent="0.2">
      <c r="A65" s="63"/>
      <c r="B65" s="83"/>
      <c r="C65" s="63"/>
      <c r="D65" s="2"/>
      <c r="E65" s="2"/>
      <c r="F65" s="2"/>
      <c r="G65" s="2"/>
    </row>
    <row r="66" spans="1:7" x14ac:dyDescent="0.2">
      <c r="A66" s="63"/>
      <c r="B66" s="83"/>
      <c r="C66" s="63"/>
      <c r="D66" s="2"/>
      <c r="E66" s="2"/>
      <c r="F66" s="2"/>
      <c r="G66" s="2"/>
    </row>
    <row r="67" spans="1:7" x14ac:dyDescent="0.2">
      <c r="A67" s="63"/>
      <c r="B67" s="83"/>
      <c r="C67" s="63"/>
      <c r="D67" s="2"/>
      <c r="E67" s="2"/>
      <c r="F67" s="2"/>
      <c r="G67" s="2"/>
    </row>
    <row r="68" spans="1:7" x14ac:dyDescent="0.2">
      <c r="A68" s="63"/>
      <c r="B68" s="83"/>
      <c r="C68" s="63"/>
      <c r="D68" s="2"/>
      <c r="E68" s="2"/>
      <c r="F68" s="2"/>
      <c r="G68" s="2"/>
    </row>
  </sheetData>
  <mergeCells count="3">
    <mergeCell ref="A5:A6"/>
    <mergeCell ref="B5:C5"/>
    <mergeCell ref="D5:G5"/>
  </mergeCells>
  <pageMargins left="0.25" right="0.25" top="0.25" bottom="0.2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Consolidated</vt:lpstr>
      <vt:lpstr>Boulder</vt:lpstr>
      <vt:lpstr>UCCS</vt:lpstr>
      <vt:lpstr>Denver</vt:lpstr>
      <vt:lpstr>Anschutz</vt:lpstr>
      <vt:lpstr>Boulder!Print_Area</vt:lpstr>
      <vt:lpstr>Consolidated!Print_Area</vt:lpstr>
      <vt:lpstr>UCCS!Print_Area</vt:lpstr>
    </vt:vector>
  </TitlesOfParts>
  <Company>University of Colorado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Allred</dc:creator>
  <cp:lastModifiedBy>Ryan Allred</cp:lastModifiedBy>
  <cp:lastPrinted>2016-06-29T22:03:41Z</cp:lastPrinted>
  <dcterms:created xsi:type="dcterms:W3CDTF">2015-06-03T15:57:36Z</dcterms:created>
  <dcterms:modified xsi:type="dcterms:W3CDTF">2016-06-29T22:04:25Z</dcterms:modified>
</cp:coreProperties>
</file>